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281" windowWidth="19320" windowHeight="11640" activeTab="0"/>
  </bookViews>
  <sheets>
    <sheet name="ΕΡΓΑΣΙΕΣ ΕΝΙΣΧΥΣΗΣ Φ.Ο" sheetId="1" r:id="rId1"/>
    <sheet name="ΕΡΓΑΣΙΕΣ ΑΝΑΚΑΙΝΙΣΗΣ" sheetId="2" r:id="rId2"/>
  </sheets>
  <definedNames>
    <definedName name="_xlnm.Print_Area" localSheetId="1">'ΕΡΓΑΣΙΕΣ ΑΝΑΚΑΙΝΙΣΗΣ'!$A$1:$K$133</definedName>
    <definedName name="_xlnm.Print_Area" localSheetId="0">'ΕΡΓΑΣΙΕΣ ΕΝΙΣΧΥΣΗΣ Φ.Ο'!$A$1:$K$37</definedName>
  </definedNames>
  <calcPr fullCalcOnLoad="1"/>
</workbook>
</file>

<file path=xl/sharedStrings.xml><?xml version="1.0" encoding="utf-8"?>
<sst xmlns="http://schemas.openxmlformats.org/spreadsheetml/2006/main" count="657" uniqueCount="467">
  <si>
    <t>ΟΙΚ 6501</t>
  </si>
  <si>
    <t>Αριθ. Τιμολ.</t>
  </si>
  <si>
    <t>Αρθρο Αναθεώρ.</t>
  </si>
  <si>
    <t>Μονάδα</t>
  </si>
  <si>
    <t>ton</t>
  </si>
  <si>
    <t>ton x 10 m</t>
  </si>
  <si>
    <t>ton.km</t>
  </si>
  <si>
    <t>m2</t>
  </si>
  <si>
    <t>m3</t>
  </si>
  <si>
    <t>m</t>
  </si>
  <si>
    <t>τεμ</t>
  </si>
  <si>
    <t>μμ</t>
  </si>
  <si>
    <t>kg</t>
  </si>
  <si>
    <t>73.34.02</t>
  </si>
  <si>
    <t>73.35</t>
  </si>
  <si>
    <t>79.16.02</t>
  </si>
  <si>
    <t>79.45</t>
  </si>
  <si>
    <t>79.49</t>
  </si>
  <si>
    <t>ΟΙΚ 3873</t>
  </si>
  <si>
    <t>38.45</t>
  </si>
  <si>
    <t>75.41.02</t>
  </si>
  <si>
    <t>ΟΙΚ 7542</t>
  </si>
  <si>
    <t>10.01.02</t>
  </si>
  <si>
    <t>ΟΙΚ-1104</t>
  </si>
  <si>
    <t>10.07.01</t>
  </si>
  <si>
    <t>ΟΙΚ-1136</t>
  </si>
  <si>
    <t>ΟΙΚ-2101</t>
  </si>
  <si>
    <t>20.01.01</t>
  </si>
  <si>
    <t>ΟΙΚ 6236</t>
  </si>
  <si>
    <t>62.60.03</t>
  </si>
  <si>
    <t>Θύρες πυρασφαλείας, μονόφυλλες, ανοιγόμενες, χωρίς φεγγίτη, κλάσης πυραντίστασης 90 min</t>
  </si>
  <si>
    <t>ΟΙΚ 5606</t>
  </si>
  <si>
    <t>56.07</t>
  </si>
  <si>
    <t>56.10</t>
  </si>
  <si>
    <t>23.03</t>
  </si>
  <si>
    <t>Ικριώματα σιδηρά σωληνωτά</t>
  </si>
  <si>
    <t>ΟΙΚ-2303</t>
  </si>
  <si>
    <t>ΟΙΚ 6541</t>
  </si>
  <si>
    <t>71.01.03</t>
  </si>
  <si>
    <t>ΟΙΚ 7103</t>
  </si>
  <si>
    <t>71.22</t>
  </si>
  <si>
    <t>Επιχρίσματα τριπτά ή πατητά με τσιμεντοκονίαμα</t>
  </si>
  <si>
    <t>ΟΙΚ 7122</t>
  </si>
  <si>
    <t>71.31</t>
  </si>
  <si>
    <t>Επιχρίσματα τριπτά - τριβιδιστά με μαρμαροκονίαμα</t>
  </si>
  <si>
    <t>ΟΙΚ 7131</t>
  </si>
  <si>
    <t>ΟΙΚ 7809</t>
  </si>
  <si>
    <t>74.30.09</t>
  </si>
  <si>
    <t>ΟΙΚ 7441</t>
  </si>
  <si>
    <t>ΟΙΚ 5613.1</t>
  </si>
  <si>
    <t>32.25.03</t>
  </si>
  <si>
    <t>ΟΙΚ-3223.Α.5</t>
  </si>
  <si>
    <t>73.37.01</t>
  </si>
  <si>
    <t>ΟΙΚ 7337</t>
  </si>
  <si>
    <t>73.47</t>
  </si>
  <si>
    <t>Περιθώρια δώματος (λούκια)</t>
  </si>
  <si>
    <t>ΟΙΚ 7347</t>
  </si>
  <si>
    <t>73.76</t>
  </si>
  <si>
    <t>Αντιολισθητικό ελαστικό παρέμβλημα μαρμάρινων βαθμίδων</t>
  </si>
  <si>
    <t>ΟΙΚ 7396</t>
  </si>
  <si>
    <t xml:space="preserve"> Συνοπτική περιγραφή</t>
  </si>
  <si>
    <t>Τιμη Μονάδας</t>
  </si>
  <si>
    <t>Εργασία χωρίς υλικά</t>
  </si>
  <si>
    <t>OIK 7744</t>
  </si>
  <si>
    <t>79.80</t>
  </si>
  <si>
    <t>20.41</t>
  </si>
  <si>
    <t xml:space="preserve">Διακίνηση προϊόντων εκσκαφών και κατεδαφίσεων με διάφορα μέσα πλήν αυτοκινήτων </t>
  </si>
  <si>
    <t>ΟΙΚ-2178</t>
  </si>
  <si>
    <t>35.02</t>
  </si>
  <si>
    <t>Κατασκευή στρώσεων από κυψελωτό κονιόδεμα για την μόνωση δωμάτων.</t>
  </si>
  <si>
    <t>ΟΙΚ 3504</t>
  </si>
  <si>
    <t>Αποστατήρες σιδηροπλισμού σκυροδεμάτων</t>
  </si>
  <si>
    <t>Καθαίρεση συνήθων κατασκευών, όπως τμημάτων πλακών, τοιχωμάτων, προβόλων κλπ ή διανοίξεις οπών σε αυτά, με εφαρμογή τεχνικών μή διαταραγμένης κοπής</t>
  </si>
  <si>
    <t xml:space="preserve">Φέροντα στοιχεία από σιδηροδοκούς ή κοιλοδοκούς ύψους ή πλευράς έως 160 mm </t>
  </si>
  <si>
    <t xml:space="preserve">Βελτίωση θερμικών επιδόσεων εξωτερικών χώρων με επίστρωση λευκών ή εγχρώμων τσιμεντοπλακών που περιέχουν ψυχρά υλικά (cool materials) </t>
  </si>
  <si>
    <t>Περιθώρια (σοβατεπιά) από κεραμικά πλακίδια</t>
  </si>
  <si>
    <t>ΟΙΚ 7934</t>
  </si>
  <si>
    <t>ΟΙΚ 7609.2</t>
  </si>
  <si>
    <t>22.40.02</t>
  </si>
  <si>
    <t>ΟΙΚ-2272Α</t>
  </si>
  <si>
    <t>22.45</t>
  </si>
  <si>
    <t>Αποξήλωση ξυλίνων ή σιδηρών κουφωμάτων</t>
  </si>
  <si>
    <t>ΟΙΚ-2275</t>
  </si>
  <si>
    <t>22.54</t>
  </si>
  <si>
    <t>Καθαίρεση οροφοκονιαμάτων</t>
  </si>
  <si>
    <t>ΟΙΚ-6102</t>
  </si>
  <si>
    <t>22.56</t>
  </si>
  <si>
    <t>Καθαίρεση μεταλλικών κατασκευών</t>
  </si>
  <si>
    <t>22.65.02</t>
  </si>
  <si>
    <t>77.67.02</t>
  </si>
  <si>
    <t>ΟΙΚ 7767.4</t>
  </si>
  <si>
    <t>75.11.02</t>
  </si>
  <si>
    <t>ΟΙΚ 7513</t>
  </si>
  <si>
    <t>54.46.01</t>
  </si>
  <si>
    <t>ΟΙΚ 5446.1</t>
  </si>
  <si>
    <t>54.46.02</t>
  </si>
  <si>
    <t>ΟΙΚ 5446.2</t>
  </si>
  <si>
    <t>22.02</t>
  </si>
  <si>
    <t xml:space="preserve">Καθαίρεση ανωδομών από αργολιθοδομή ή λιθοδομή </t>
  </si>
  <si>
    <t>ΟΙΚ-2204</t>
  </si>
  <si>
    <t>22.03</t>
  </si>
  <si>
    <t xml:space="preserve">Διαλογή των χρησίμων λίθων από τα προϊόντα καθαιρέσεως </t>
  </si>
  <si>
    <t>ΟΙΚ-2212</t>
  </si>
  <si>
    <t>22.04</t>
  </si>
  <si>
    <t>Καθαιρέσεις πλινθοδομών</t>
  </si>
  <si>
    <t>ΟΙΚ-2222</t>
  </si>
  <si>
    <t>Θερμομόνωση με πλάκες διογκωμένης πολυουρεθάνης πάχους 50 mm</t>
  </si>
  <si>
    <t>Θερμική απομόνωση οροφών και δαπέδων με φύλλα διογκωμένης πολυστερίνης πάχους 50 mm</t>
  </si>
  <si>
    <t>76.27.02</t>
  </si>
  <si>
    <t>48.35.02</t>
  </si>
  <si>
    <t>ΟΙΚ-4836.1</t>
  </si>
  <si>
    <t>77.15</t>
  </si>
  <si>
    <t>ΟΙΚ 7735</t>
  </si>
  <si>
    <t>ΟΙΚ 7737</t>
  </si>
  <si>
    <t>77.17.01</t>
  </si>
  <si>
    <t>32.01.04</t>
  </si>
  <si>
    <t>ΟΙΚ-3214</t>
  </si>
  <si>
    <t>54.69</t>
  </si>
  <si>
    <t>Θυρόφυλλα παλινδρομικά (αλέ - ρετούρ) πρεσσαριστά</t>
  </si>
  <si>
    <t>ΟΙΚ 5469.1</t>
  </si>
  <si>
    <t>ΟΙΚ 5472.1</t>
  </si>
  <si>
    <t>54.75</t>
  </si>
  <si>
    <t>Εντοιχισμένες ντουλάπες</t>
  </si>
  <si>
    <t>22.10.01</t>
  </si>
  <si>
    <t>ΟΙΚ-2226</t>
  </si>
  <si>
    <t>22.15.01</t>
  </si>
  <si>
    <t>22.15.02</t>
  </si>
  <si>
    <t>22.20.01</t>
  </si>
  <si>
    <t>ΟΙΚ-2236</t>
  </si>
  <si>
    <t>22.21.01</t>
  </si>
  <si>
    <t>ΟΙΚ-2238</t>
  </si>
  <si>
    <t>22.23</t>
  </si>
  <si>
    <t>Καθαίρεση επιχρισμάτων</t>
  </si>
  <si>
    <t>ΟΙΚ-2252</t>
  </si>
  <si>
    <t>22.30.04</t>
  </si>
  <si>
    <t>ΟΙΚ-2261Δ</t>
  </si>
  <si>
    <t>ΟΙΚ 7785.1</t>
  </si>
  <si>
    <t>77.80.01</t>
  </si>
  <si>
    <t>77.80.02</t>
  </si>
  <si>
    <t>64.26.01</t>
  </si>
  <si>
    <t>ΟΙΚ 6426</t>
  </si>
  <si>
    <t>64.26.02</t>
  </si>
  <si>
    <t>ΟΙΚ 6427</t>
  </si>
  <si>
    <t>64.26.03</t>
  </si>
  <si>
    <t>ΟΙΚ 6428</t>
  </si>
  <si>
    <t>64.29</t>
  </si>
  <si>
    <t>Ανοξείδωτος χειρολισθήρας Φ50/2 mm</t>
  </si>
  <si>
    <t>ΟΙΚ 7246</t>
  </si>
  <si>
    <t>72.47.01</t>
  </si>
  <si>
    <t>ΟΙΚ 7326.1</t>
  </si>
  <si>
    <t>ΟΙΚ 7331</t>
  </si>
  <si>
    <t>73.33.02</t>
  </si>
  <si>
    <t>73.33.03</t>
  </si>
  <si>
    <t>75.21.04</t>
  </si>
  <si>
    <t>ΟΙΚ 7526</t>
  </si>
  <si>
    <t>75.31.04</t>
  </si>
  <si>
    <t>ΟΙΚ 7534</t>
  </si>
  <si>
    <t>75.36.02</t>
  </si>
  <si>
    <t>ΟΙΚ 7537</t>
  </si>
  <si>
    <t>ΟΙΚ 3213</t>
  </si>
  <si>
    <t>49.01.01</t>
  </si>
  <si>
    <t>49.01.02</t>
  </si>
  <si>
    <t>46.10.02</t>
  </si>
  <si>
    <t>46.10.04</t>
  </si>
  <si>
    <t>38.20.02</t>
  </si>
  <si>
    <t>ΟΙΚ-3873</t>
  </si>
  <si>
    <t>ΟΙΚ 7912</t>
  </si>
  <si>
    <t>79.11.02</t>
  </si>
  <si>
    <t>ΟΙΚ 7914</t>
  </si>
  <si>
    <t>Θύρες πυρασφαλείας, δίφυλλες, ανοιγόμενες, με φεγγίτη από πυρίμαχο οπλισμένο κρύσταλλο, κλάσης πυραντίστασης 60 min</t>
  </si>
  <si>
    <t>20.05.01</t>
  </si>
  <si>
    <t>ΟΙΚ-2124</t>
  </si>
  <si>
    <t>m*cm (dm2)</t>
  </si>
  <si>
    <t>55.31.01</t>
  </si>
  <si>
    <t>ΟΙΚ 5531.1</t>
  </si>
  <si>
    <t>62.61.05</t>
  </si>
  <si>
    <t>ΟΙΚ 6525</t>
  </si>
  <si>
    <t>65.50.02</t>
  </si>
  <si>
    <t>54.90.01</t>
  </si>
  <si>
    <t>54.90.02</t>
  </si>
  <si>
    <t>78.30.01</t>
  </si>
  <si>
    <t>ΟΙΚ 6104</t>
  </si>
  <si>
    <t>61.05</t>
  </si>
  <si>
    <t>45.05.02</t>
  </si>
  <si>
    <t>ΟΙΚ-4515</t>
  </si>
  <si>
    <t>ΟΙΚ-4662.1</t>
  </si>
  <si>
    <t>ΟΙΚ-4664.1</t>
  </si>
  <si>
    <t>Συρτάρια για ντουλάπες κοιτώνων επιφάνειας μεγαλύτερης των 0,40 m2</t>
  </si>
  <si>
    <t>Χαλύβδινοι οπλισμοί κατηγορίας B500C (S500s)</t>
  </si>
  <si>
    <t>Κουφώματα από ηλεκτροστατικά βαμμένο αλουμίνιο βάρους 12 - 24 kg/m2 με θερμοδιακοπή Uf&lt;2,9W/m2K</t>
  </si>
  <si>
    <t>N.65.01.02</t>
  </si>
  <si>
    <t>Σύστημα υαλοπετασμάτων με εμφανή διατομή αλουμινίου μεταξύ των υαλοπινάκων με θερμοδιακοπή Uf&lt;2,9W/m2K</t>
  </si>
  <si>
    <t>N.65.20.03</t>
  </si>
  <si>
    <t>Υαλοστάσια δίφυλλα, με το ένα ή και τα δύο φύλλα ανασυρόμενα, με ή χωρίς σταθερό φεγγίτη με θερμοδιακοπή Uf&lt;2,9W/m2K</t>
  </si>
  <si>
    <t>N.65.17.07</t>
  </si>
  <si>
    <t>Επιστρώσεις με ψηφιδόπλακα 30χ30</t>
  </si>
  <si>
    <t>Συλλογέας ομβρίων με επίπεδη σχάρα ευθύς διαμέτρου Φ 75 mm</t>
  </si>
  <si>
    <t>ΑΤΗΕ Ν8059.1</t>
  </si>
  <si>
    <t>ΑΤΟΕ 6121</t>
  </si>
  <si>
    <t>Υδρορροή από γαλβανισμένη λαμαρίνα σωληνωτή κυκλική (φ100)</t>
  </si>
  <si>
    <t>ΑΤΗΕ 8062.3</t>
  </si>
  <si>
    <t>ΗΛΜ-1</t>
  </si>
  <si>
    <t xml:space="preserve">Εξαεριστήρας µόνωσης </t>
  </si>
  <si>
    <t>Ν. ΑΤΗΕ 8042.1.5</t>
  </si>
  <si>
    <t xml:space="preserve">ΗΛΜ 8 </t>
  </si>
  <si>
    <t>τεμ.</t>
  </si>
  <si>
    <t>Επιστρώσεις με ελαστομερείς μεμβράνες.Μεμβράνη από ασφαλτο - πολυπροπυλένιο (APP), οπλισμένη με υαλοπλέγματα ή πολυεστερικές ίνες</t>
  </si>
  <si>
    <t>Φράγματα υδρατμών από συνθετικά υλικά. Με υδροπερατή συνθετική λινάτσα</t>
  </si>
  <si>
    <t>Β-82</t>
  </si>
  <si>
    <t>Διαμόρφωση διαβάσεων ΑΜΕΑ σε πεζοδρόμια και νησίδες</t>
  </si>
  <si>
    <t>ΟΔΟ-2922</t>
  </si>
  <si>
    <t>Μανδύας εκτοξευόμενου σκυροδέματος κατηγορίας C20/25 για την ενίσχυση οριζόντιων στοιχείων</t>
  </si>
  <si>
    <t>38.02</t>
  </si>
  <si>
    <t>Ξυλότυποι χυτών μικροκατασκευών</t>
  </si>
  <si>
    <t>ΟΙΚ 3811</t>
  </si>
  <si>
    <t>ΥΔΡ 7025</t>
  </si>
  <si>
    <t>Β-92.3</t>
  </si>
  <si>
    <t>Bλήτρα από ράβδους Φ14 mm</t>
  </si>
  <si>
    <t>ΝΒ-92.1</t>
  </si>
  <si>
    <t>Bλήτρα από ράβδους Φ8 mm</t>
  </si>
  <si>
    <t>Αποκατάσταση τοπικών βλαβών στοιχείων από οπλισμένο σκυρόδεμα οφειλομένων στην διάβρωση του οπλισμού με χρήση επισκευαστικών κονιαμάτων και αναστολέων διάβρωσης</t>
  </si>
  <si>
    <t>10.19</t>
  </si>
  <si>
    <t>ΥΔΡ 6370</t>
  </si>
  <si>
    <r>
      <t xml:space="preserve"> </t>
    </r>
    <r>
      <rPr>
        <b/>
        <sz val="12"/>
        <rFont val="Arial"/>
        <family val="2"/>
      </rPr>
      <t>2. ΚΑΤΗΓΟΡΙΑ: Η/Μ ΕΓΚΑΤΑΣΤΑΣΕΙΣ</t>
    </r>
  </si>
  <si>
    <r>
      <t xml:space="preserve"> </t>
    </r>
    <r>
      <rPr>
        <b/>
        <sz val="12"/>
        <rFont val="Arial"/>
        <family val="2"/>
      </rPr>
      <t>1. ΚΑΤΗΓΟΡΙΑ: ΟΙΚΟΔΟΜΙΚΑ</t>
    </r>
  </si>
  <si>
    <t>Αποξήλωση και απομάκρυνση ειδών υγιεινής</t>
  </si>
  <si>
    <t>αποκ.</t>
  </si>
  <si>
    <t xml:space="preserve">Τεμ. </t>
  </si>
  <si>
    <t xml:space="preserve">Ηλεκτρική συσκευή στεγνώματος χεριών πλήρης  </t>
  </si>
  <si>
    <t>Γενικός τριφασικός πίνακας</t>
  </si>
  <si>
    <t>Εγκαταστάσεις ενεργητικής πυρασφάλειας</t>
  </si>
  <si>
    <t>Κατ' αποκοπήν</t>
  </si>
  <si>
    <t>Αναμικτήρας (μπαταρία) θερμού - ψυχρού ύδατος, ορειχάλκινος, επιχρωμιωμένος τοποθετημένος σε νιπτήρα Φ 3/8 ins</t>
  </si>
  <si>
    <t>ΗΛΜ 11</t>
  </si>
  <si>
    <t>Τεμ</t>
  </si>
  <si>
    <t>Αναμικτήρας (μπαταρία) θερμού - ψυχρού ύδατος, ορειχάλκινος, επιχρωμιωμένος Λουτήρα ή λεκάνης καταιονηστήα Φ 1/2 ins Με κινητό καταιονηστήρα</t>
  </si>
  <si>
    <t>Λεκάνη αποχωρητηρίου από πορσελάνη Χαμηλής πιέσεως με το δοχείο πλύσεως και τα εξαρτήματά του</t>
  </si>
  <si>
    <t>ΗΛΜ 14</t>
  </si>
  <si>
    <t>Νιπτήρας πορσελάνης Διαστάσεων 40x50</t>
  </si>
  <si>
    <t>ΗΛΜ 16</t>
  </si>
  <si>
    <t>Καθρέπτης τοίχου πάχους 4 mm μπιζουτέ Διαστάσεων 42x60 cm</t>
  </si>
  <si>
    <t>ΟΙΚ 7619</t>
  </si>
  <si>
    <t>Εταζέρα νιπτήρα πλήρης Πορσελάνης Μήκους 0,50 cm</t>
  </si>
  <si>
    <t>Ποτηριοθήκη πλήρης Πορσελάνης διαστάσεων 15x15 cm μονή</t>
  </si>
  <si>
    <t>Σαπωνοθήκη πορσελάνης πλήρης Διαστάσεων 15x15 cm χωρίς χειρολαβή</t>
  </si>
  <si>
    <t>Σαπωνοσπογγοθήκη πορσελάνης πλήρης Διαστάσεων 30x15 cm με χειρολαβή</t>
  </si>
  <si>
    <t>Αγγιστρο (γάντζος) αναρτήσεως, από πορσελάνη Διπλό</t>
  </si>
  <si>
    <t>Χαρτοθήκη πλήρης Διαστάσεων 15x15 cm Διαστάσεων 15x15 cm</t>
  </si>
  <si>
    <t>Λεκάνη για ΑΜΕΑ</t>
  </si>
  <si>
    <t>ΗΛΜ 13</t>
  </si>
  <si>
    <t>Νιπτήρας πορσελάνης ΑΜΕΑ</t>
  </si>
  <si>
    <t>Αναμικτήρας νιπτήρα ΑΜΕΑ</t>
  </si>
  <si>
    <t>Καθρέπτης ανακλινόμενος ΑΜΕΑ</t>
  </si>
  <si>
    <t>ΑΘΡΟΙΣΜΑ ΔΑΠΑΝΩΝ  ΕΡΓΑΣΙΩΝ  ΣΣ=</t>
  </si>
  <si>
    <t>ΦΠΑ 24%</t>
  </si>
  <si>
    <t>Η/Μ ΕΓΚΑΤΑΣΤΑΣΕΙΣ</t>
  </si>
  <si>
    <t>ΟΙΚΟΔΟΜΙΚΑ</t>
  </si>
  <si>
    <t>ΓΕΝΙΚΟ ΣΥΝΟΛΟ:</t>
  </si>
  <si>
    <t>72.31.04</t>
  </si>
  <si>
    <t>Επιστεγάσεις με λαμαρίνα πάχους 1,00 mm, με τραπεζοειδείς πτυχώσεις</t>
  </si>
  <si>
    <t>ΟΙΚ 7231</t>
  </si>
  <si>
    <t>61.28</t>
  </si>
  <si>
    <t>Κατασκευή μεταλλικού σκελετού από γωνιακά ελάσματα για δομικά έργα</t>
  </si>
  <si>
    <t>ΟΙΚ 6128</t>
  </si>
  <si>
    <t>Ποσότητα</t>
  </si>
  <si>
    <t>Δαπάνη</t>
  </si>
  <si>
    <t>ΕΛΛΗΝΙΚΗ ΔΗΜΟΚΡΑΤΙΑ</t>
  </si>
  <si>
    <t>ΔΗΜΟΣ ΤΡΙΦΥΛΙΑΣ</t>
  </si>
  <si>
    <t>Δ/ΝΣΗ ΤΕΧΝΙΚΩΝ ΥΠΗΡΕΣΙΩΝ</t>
  </si>
  <si>
    <t>ΤΜΗΜΑ ΜΕΛΕΤΩΝ, ΕΚΤΕΛΕΣΗΣ ΈΡΓΩΝ &amp; ΠΟΛ. ΠΡΟΣΤΑΣΙΑΣ</t>
  </si>
  <si>
    <t>ΠΕΡΙΦΕΡΕΙΑ ΠΕΛΟΠΟΝΝΗΣΟΥ</t>
  </si>
  <si>
    <t>ΘΕΣΗ: ΓΑΡΓΑΛΙΑΝΟΙ Δ.Ε. ΓΑΡΓΑΛΙΑΝΩΝ</t>
  </si>
  <si>
    <t>Α/Α</t>
  </si>
  <si>
    <t>Ν.32.02.05.01</t>
  </si>
  <si>
    <t>Ν.32.02.05.02</t>
  </si>
  <si>
    <t>Μερική Δαπάνη</t>
  </si>
  <si>
    <t>Συνολική Δαπάνη</t>
  </si>
  <si>
    <t xml:space="preserve">ΕΡΓΟ: ΕΡΓΑΣΙΕΣ ΕΝΙΣΧΥΣΗΣ Φ.Ο.  ΤΟΥΡΙΣΤΙΚΟΥ ΞΕΝΩΝΑ </t>
  </si>
  <si>
    <t>Ν.73.16.2</t>
  </si>
  <si>
    <t>ΟΙΚ 7316</t>
  </si>
  <si>
    <t xml:space="preserve">Προετοιμασία επιχρισμένων επιφανειών τοίχων για χρωματισμούς </t>
  </si>
  <si>
    <t>Φορτοεκφόρτωση υλικών επί αυτοκινήτου ή σε ζώα. Φορτοεκφόρτωση με μηχανικά μέσα</t>
  </si>
  <si>
    <t>Μεταφορές με αυτοκίνητο δια μέσου οδών καλής βατότητας</t>
  </si>
  <si>
    <t>Eκσκαφή θεμελίων και τάφρων με χρήση μηχανικών μέσων σε εδάφη γαιώδη-ημιβραχώδη</t>
  </si>
  <si>
    <t>Καθαίρεση μεμονωμένων στοιχείων κατασκευών από άοπλο σκυρόδεμα Με εφαρμογή συνήθων μεθόδων καθαίρεσης</t>
  </si>
  <si>
    <t>Καθαίρεση μεμονωμένων στοιχείων κατασκευών από οπλισμένο σκυρόδεμα. Με εφαρμογή συνήθων μεθόδων καθαίρεσης</t>
  </si>
  <si>
    <t>Σπατουλάρισμα προετοιμασμένων επιφανειών. Επιφανειών επιχρισμάτων ή σκυροδεμάτων</t>
  </si>
  <si>
    <t>Χρωματισμοί επί επιφανειών επιχρισμάτων με χρώματα υδατικής διασποράς, ακρυλικής, στυρενιοακρυλικής ή πολυβινυλικής βάσεως. Εσωτερικών επιφανειών με χρήση χρωμάτων, ακρυλικής στυρενιοακρυλικής- ακρυλικής ή πολυβινυλικής βάσεως</t>
  </si>
  <si>
    <t>Εκθάμνωση εδάφους  με  δενδρύλια περιμέτρου κορμού μέχρι 0,25 m</t>
  </si>
  <si>
    <t>Καθαίρεση πλακοστρώσεων δαπέδων παντός τύπου και οιουδήποτε πάχους  Χωρίς να καταβάλλεται προσοχή για την εξαγωγή ακεραίων πλακών</t>
  </si>
  <si>
    <t>Καθαίρεση επιστρώσεων τοίχων παντός τύπου. Χωρίς να καταβάλλεται προσοχή για την εξαγωγή ακεραίων πλακών</t>
  </si>
  <si>
    <t>Διάνοιξη οπών, φωλεών, ή ανοιγμάτων σε πλινθοδομές.  Για οπές επιφανείας άνω των 0,25 m2 και έως 0,50 m2</t>
  </si>
  <si>
    <t>Διάνοιξη οπής ή φωλιάς σε άοπλο σκυρόδεμα. Για πάχος σκυροδέματος 0,16 έως 0,25 m</t>
  </si>
  <si>
    <t>Αποξήλωση κιγκλιδωμάτων. Για μεταλλικά κιγκλιδώματα</t>
  </si>
  <si>
    <t>Προμήθεια, μεταφορά επί τόπου, διάστρωση και συμπύκνωση σκυροδέματος με χρήση αντλίας ή πυργογερανού. Για κατασκευές από σκυρόδεμα κατηγορίας C16/20</t>
  </si>
  <si>
    <t>Προσαύξηση τιμής σκυροδέματος οποιασδήποτε κατηγορίας, όταν το σύνολο της χρησιμοποιούμενης ποσότητας δεν υπερβαίνει τα 30,00 m3. Για κατασκευές από σκυρόδεμα κατηγορίας C16/20</t>
  </si>
  <si>
    <t>Οπτοπλινθοδομές με διακένους τυποποιημένους οπτοπλίνθους 9x12x19 cm. Πάχους 1/2 πλίνθου (δρομικοί τοίχοι)</t>
  </si>
  <si>
    <t>Οπτοπλινθοδομές με διακένους τυποποιημένους οπτοπλίνθους 9x12x19 cm. Πάχους 1 (μιάς) πλίνθου (μπατικοί τοίχοι)</t>
  </si>
  <si>
    <t>Καπνοδόχοι από προκατασκευασμένα στοιχεία. Με σπονδύλους σχήματος (Π)</t>
  </si>
  <si>
    <t>Διαζώματα (σενάζ) από ελαφρά οπλισμένο σκυρόδεμα. Γραμμικά διαζώματα (σενάζ) δρομικών τοίχων</t>
  </si>
  <si>
    <t>Διαζώματα (σενάζ) από ελαφρά οπλισμένο σκυρόδεμα. Γραμμικά διαζώματα (σενάζ) μπατικών τοίχων</t>
  </si>
  <si>
    <t>Θύρες ξύλινες πρεσσαριστές. Με κάσσα δρομική, πλάτους έως 13 cm</t>
  </si>
  <si>
    <t>Θύρες ξύλινες πρεσσαριστές. Με κάσσα μπατική, πλάτους έως 23 cm</t>
  </si>
  <si>
    <t>Ξύλινες ψευτόκασσες τοίχων. Δρομικών τοίχων</t>
  </si>
  <si>
    <t>Ξύλινες ψευτόκασσες τοίχων. Μπατικών τοίχων</t>
  </si>
  <si>
    <t>Χειρολισθήρας ευθύγραμμος διατομής 9x9 cm. Από ξυλεία δρυός αρίστης ποιότητας</t>
  </si>
  <si>
    <t>Ράφια ή χωρίσματα από μοριοσανίδες. Ράφια ή χωρίσματα πάχους 18 mm από MDF</t>
  </si>
  <si>
    <t>Σιδηροσωλήνες κιγκλιδωμάτων γαλβανισμένοι. Σιδηροσωλήνες γαλβανισμένοι Φ 1''</t>
  </si>
  <si>
    <t>Σιδηροσωλήνες κιγκλιδωμάτων γαλβανισμένοι. Σιδηροσωλήνες γαλβανισμένοι Φ 1 1/2 ''</t>
  </si>
  <si>
    <t>Σιδηροσωλήνες κιγκλιδωμάτων γαλβανισμένοι. Σιδηροσωλήνες γαλβανισμένοι Φ 2 ''</t>
  </si>
  <si>
    <t>Παντζούρια αλουμινίου ή πλαστικά ανοιγόμενα ή συρόμενα και κάσες αυτών.Συρόμενα αλλουμινίου</t>
  </si>
  <si>
    <t>Αρμολογήματα όψεων υφισταμένων τοιχοδομών. Αρμολογήματα όψεων ημιξέστων ή ξεστών λιθοδομών</t>
  </si>
  <si>
    <t>Αρμοκάλυπτρα. Αρμοκάλυπτρα αρμών εύρους 50 mm</t>
  </si>
  <si>
    <t>Επιστρώσεις δαπέδων με κεραμικά πλακίδια. Επιστρώσεις δαπέδων με πλακίδια GROUP 4, διαστάσεων 30x30 cm</t>
  </si>
  <si>
    <t>Επιστρώσεις δαπέδων με κεραμικά πλακίδια.. Επιστρώσεις δαπέδων με πλακίδια GROUP 4, διαστάσεων 40x40 cm</t>
  </si>
  <si>
    <t>Επενδύσεις τοίχων με κεραμικά πλακίδια GROUP 1. Επενδύσεις τοίχων με πλακίδια GROUP 1, διαστάσεων 30x30 cm</t>
  </si>
  <si>
    <t>Επιστρώσεις δαπέδων και περιθώρια με τσιμεντοκονίαμα ή με τσιμεντοασβεστοκονίαμα σε δύο στρώσεις. Επιστρώσεις τσιμεντοκονίας πάχους 2,0 cm</t>
  </si>
  <si>
    <t>Επιστρώσεις δαπέδων με ισομεγέθεις πλάκες μαρμάρου. Επιστρώσεις με πλάκες μαρμάρου σκληρού έως εξαιρετικά σκληρού, πάχους 2 cm, σε αναλογία έως 5 τεμάχια ανά τετραγωνικό μέτρο</t>
  </si>
  <si>
    <t>Περιθώρια (σοβατεπιά) από μάρμαρο. Σοβατεπιά από μάρμαρο σκληρό έως εξαιρετικά σκληρό, πάχους 2</t>
  </si>
  <si>
    <t>Επιστρώσεις στηθαίων (πεζουλίων) με μάρμαρο. Επιστρώσεις στηθαίων με μάρμαρο σκληρό έως εξαιρετικά σκληρό, πάχους 2 cm και πλάτους άνω των 20 cm</t>
  </si>
  <si>
    <t>Ποδιές παραθύρων από μάρμαρο. Ποδιές παραθύρων από σκληρό / εξαιρετικά σκληρό μάρμαρο d = 3 cm</t>
  </si>
  <si>
    <t>Μπαλκονοποδιές μήκους έως 2,00 m. Μπαλκονοποδιές από μάρμαρο πάχους 4 cm</t>
  </si>
  <si>
    <t>Επενδύσεις βαθμίδων μήκους έως 2,00 m με μάρμαρο λευκό. Επενδύσεις βαθμίδων με μάρμαρο πάχους 4 / 2 cm (βατήρων/μετώπων)</t>
  </si>
  <si>
    <t>Διπλοί θερμομονωτικοί - ηχομονωτικοί - ανακλαστικοί υαλοπίνακες. Διπλοί υαλοπίνακες συνολικού πάχους 22 mm, (κρύσταλλο 5 mm, κενό 12 mm, κρύσταλλο 5 mm)</t>
  </si>
  <si>
    <t>Χρωματισμοί σωληνώσεων. Διαμέτρου από 1 1/4 έως 2''</t>
  </si>
  <si>
    <t>Χρωματισμοί επί επιφανειών επιχρισμάτων με χρώματα υδατικής διασποράς, ακρυλικής, στυρενιοακρυλικής ή πολυβινυλικής βάσεως. Εξωτερικών επιφανειών με χρήση χρωμάτων, ακρυλικής ή στυρενιο-ακριλικής βάσεως.</t>
  </si>
  <si>
    <t>Ψευδοροφή διακοσμητική, επισκέψιμη, φωτιστική. Ψευδοροφή από πλάκες ορυκτών ινών πάχους 15 έως 20 mm, 
διαστάσεων 600x600 mm ή 625x625 mm</t>
  </si>
  <si>
    <t>Ηλιακοί επιλεκτικοι 160lt 4m2</t>
  </si>
  <si>
    <t xml:space="preserve">Υποπίνακας </t>
  </si>
  <si>
    <t>Σύστημα θέρμασνης-Κλιματισμού</t>
  </si>
  <si>
    <t xml:space="preserve">Φωτιστικά περιβάλλοντος χώρου </t>
  </si>
  <si>
    <t>Ανακατασκευή ύδρευσης,αποχέτευσης - WC/μπάνια-μαγειρίου</t>
  </si>
  <si>
    <t>Ηλεκτρολογικές εγκαταστάσεις ξενώνα, χώρου εστίασης λοιπούς χώρους</t>
  </si>
  <si>
    <t>ΕΡΓΟ: ΕΡΓΑΣΙΕΣ ΑΝΑΚΑΙΝΙΣΗΣ  ΤΟΥΡΙΣΤΙΚΟΥ ΞΕΝΩΝΑ ΓΑΡΓΑΛΙΑΝΩΝ</t>
  </si>
  <si>
    <t>Α.Τ.1</t>
  </si>
  <si>
    <t>Α.Τ.2</t>
  </si>
  <si>
    <t>Α.Τ.3</t>
  </si>
  <si>
    <t>Α.Τ.4</t>
  </si>
  <si>
    <t>Α.Τ.5</t>
  </si>
  <si>
    <t>Α.Τ.6</t>
  </si>
  <si>
    <t>Α.Τ.7</t>
  </si>
  <si>
    <t>Α.Τ.8</t>
  </si>
  <si>
    <t>Α.Τ.9</t>
  </si>
  <si>
    <t>Α.Τ.10</t>
  </si>
  <si>
    <t>Α.Τ.11</t>
  </si>
  <si>
    <t>Α.Τ.12</t>
  </si>
  <si>
    <t>Α.Τ.13</t>
  </si>
  <si>
    <t>Α.Τ.14</t>
  </si>
  <si>
    <t>Α.Τ.15</t>
  </si>
  <si>
    <t>Α.Τ.16</t>
  </si>
  <si>
    <t>Α.Τ.17</t>
  </si>
  <si>
    <t>Α.Τ.18</t>
  </si>
  <si>
    <t>Α.Τ.19</t>
  </si>
  <si>
    <t>Α.Τ.20</t>
  </si>
  <si>
    <t>Α.Τ.21</t>
  </si>
  <si>
    <t>Α.Τ.22</t>
  </si>
  <si>
    <t>Α.Τ.23</t>
  </si>
  <si>
    <t>Α.Τ.24</t>
  </si>
  <si>
    <t>Α.Τ.25</t>
  </si>
  <si>
    <t>Α.Τ.26</t>
  </si>
  <si>
    <t>Α.Τ.27</t>
  </si>
  <si>
    <t>Α.Τ.28</t>
  </si>
  <si>
    <t>Α.Τ.29</t>
  </si>
  <si>
    <t>Α.Τ.30</t>
  </si>
  <si>
    <t>Α.Τ.31</t>
  </si>
  <si>
    <t>Α.Τ.32</t>
  </si>
  <si>
    <t>Α.Τ.33</t>
  </si>
  <si>
    <t>Α.Τ.34</t>
  </si>
  <si>
    <t>Α.Τ.35</t>
  </si>
  <si>
    <t>Α.Τ.36</t>
  </si>
  <si>
    <t>Α.Τ.37</t>
  </si>
  <si>
    <t>Α.Τ.38</t>
  </si>
  <si>
    <t>Α.Τ.39</t>
  </si>
  <si>
    <t>Α.Τ.40</t>
  </si>
  <si>
    <t>Α.Τ.41</t>
  </si>
  <si>
    <t>Α.Τ.42</t>
  </si>
  <si>
    <t>Α.Τ.43</t>
  </si>
  <si>
    <t>Α.Τ.44</t>
  </si>
  <si>
    <t>Α.Τ.45</t>
  </si>
  <si>
    <t>Α.Τ.46</t>
  </si>
  <si>
    <t>Α.Τ.47</t>
  </si>
  <si>
    <t>Α.Τ.48</t>
  </si>
  <si>
    <t>Α.Τ.49</t>
  </si>
  <si>
    <t>Α.Τ.50</t>
  </si>
  <si>
    <t>Α.Τ.51</t>
  </si>
  <si>
    <t>Α.Τ.52</t>
  </si>
  <si>
    <t>Α.Τ.53</t>
  </si>
  <si>
    <t>Α.Τ.54</t>
  </si>
  <si>
    <t>Α.Τ.55</t>
  </si>
  <si>
    <t>Α.Τ.56</t>
  </si>
  <si>
    <t>Α.Τ.57</t>
  </si>
  <si>
    <t>Α.Τ.58</t>
  </si>
  <si>
    <t>Α.Τ.59</t>
  </si>
  <si>
    <t>Α.Τ.60</t>
  </si>
  <si>
    <t>Α.Τ.61</t>
  </si>
  <si>
    <t>Α.Τ.62</t>
  </si>
  <si>
    <t>Α.Τ.63</t>
  </si>
  <si>
    <t>Α.Τ.64</t>
  </si>
  <si>
    <t>Α.Τ.65</t>
  </si>
  <si>
    <t>Α.Τ.66</t>
  </si>
  <si>
    <t>Α.Τ.67</t>
  </si>
  <si>
    <t>Α.Τ.68</t>
  </si>
  <si>
    <t>Α.Τ.69</t>
  </si>
  <si>
    <t>Α.Τ.70</t>
  </si>
  <si>
    <t>Α.Τ.71</t>
  </si>
  <si>
    <t>Α.Τ.72</t>
  </si>
  <si>
    <t>Α.Τ.73</t>
  </si>
  <si>
    <t>Α.Τ.74</t>
  </si>
  <si>
    <t>Α.Τ.75</t>
  </si>
  <si>
    <t>Α.Τ.76</t>
  </si>
  <si>
    <t>Α.Τ.77</t>
  </si>
  <si>
    <t>Α.Τ.78</t>
  </si>
  <si>
    <t>Α.Τ.79</t>
  </si>
  <si>
    <t>Α.Τ.80</t>
  </si>
  <si>
    <t>Α.Τ.81</t>
  </si>
  <si>
    <t>Α.Τ.82</t>
  </si>
  <si>
    <t>Α.Τ.83</t>
  </si>
  <si>
    <t>Α.Τ.84</t>
  </si>
  <si>
    <t>Α.Τ.85</t>
  </si>
  <si>
    <t>Α.Τ.86</t>
  </si>
  <si>
    <t>Α.Τ.87</t>
  </si>
  <si>
    <t>Α.Τ.88</t>
  </si>
  <si>
    <t>Α.Τ.89</t>
  </si>
  <si>
    <t>Α.Τ.90</t>
  </si>
  <si>
    <t>Α.Τ.91</t>
  </si>
  <si>
    <t>Α.Τ.92</t>
  </si>
  <si>
    <t>Α.Τ.93</t>
  </si>
  <si>
    <t>Α.Τ.94</t>
  </si>
  <si>
    <t>Α.Τ.95</t>
  </si>
  <si>
    <t>Α.Τ.96</t>
  </si>
  <si>
    <t>Α.Τ.97</t>
  </si>
  <si>
    <t>Α.Τ.98</t>
  </si>
  <si>
    <t>Α.Τ.99</t>
  </si>
  <si>
    <t>Α.Τ.100</t>
  </si>
  <si>
    <t>Α.Τ.101</t>
  </si>
  <si>
    <t>Α.Τ.102</t>
  </si>
  <si>
    <t>Α.Τ.103</t>
  </si>
  <si>
    <t>Α.Τ.104</t>
  </si>
  <si>
    <t>Α.Τ.105</t>
  </si>
  <si>
    <t>Α.Τ.106</t>
  </si>
  <si>
    <t>Α.Τ.107</t>
  </si>
  <si>
    <t>Λεκάνη καταιονηστήρα με βαλβίδα Από υαλώδη πορσελάνη Διαστάσεων σκάφης λεκάνης περίπου 90x90cm με καμπίνες</t>
  </si>
  <si>
    <t xml:space="preserve">Ανσανσέρ </t>
  </si>
  <si>
    <t>Ηλεκτρολογικές εγκαταστάσεις μαγειρίου-αποθήκες</t>
  </si>
  <si>
    <t>Φιλιατρά ........................</t>
  </si>
  <si>
    <t>Η συντάξασα</t>
  </si>
  <si>
    <t xml:space="preserve">Θεωρήθηκε </t>
  </si>
  <si>
    <t xml:space="preserve">                                     </t>
  </si>
  <si>
    <t xml:space="preserve">Ο Διευθυντής </t>
  </si>
  <si>
    <t>Τεχνικών Υπηρεσιών &amp; Πολιτικής Προστασίας</t>
  </si>
  <si>
    <t>Αθανασία Τσίγκανου</t>
  </si>
  <si>
    <t>Γεώργιος Γκόνης</t>
  </si>
  <si>
    <t>Πολιτικός Μηχανικός</t>
  </si>
  <si>
    <t>Πολιτικός  Μηχανικός</t>
  </si>
  <si>
    <t>38.20.03</t>
  </si>
  <si>
    <t>Δομικά πλέγματα B500C (S500s)</t>
  </si>
  <si>
    <t>Διαμόρφωση όψεων εμπλέκτων λιθοδομών. Διαμόρφωση όψεων ξεστών, εμπλέκτων, ψευδοϊσοδόμων λιθοδομών</t>
  </si>
  <si>
    <t>Μανδύας έγχυτου σκυροδέματος κατηγορίας C25/30 για την ενίσχυση κατακόρυφων στοιχείων πάχος μανδύα&gt;8εκ</t>
  </si>
  <si>
    <t>Β-52</t>
  </si>
  <si>
    <t>Πλακοστρώσεις πεζοδρομίων, νησίδων κ.λ.π.</t>
  </si>
  <si>
    <r>
      <t>m</t>
    </r>
    <r>
      <rPr>
        <vertAlign val="superscript"/>
        <sz val="9"/>
        <rFont val="Arial"/>
        <family val="2"/>
      </rPr>
      <t>2</t>
    </r>
  </si>
  <si>
    <t>79.15.04</t>
  </si>
  <si>
    <t>Γεωϋφασμα μη υφαντό βάρους 285 gr/m2</t>
  </si>
  <si>
    <t>Α.Τ.108</t>
  </si>
  <si>
    <t>Α.Τ.109</t>
  </si>
  <si>
    <t>Αλεξικέραυνο</t>
  </si>
  <si>
    <t>Φιλιατρά 13/04/2017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</si>
</sst>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"/>
    <numFmt numFmtId="165" formatCode="0.00000"/>
    <numFmt numFmtId="166" formatCode="&quot;Ναι&quot;;&quot;Ναι&quot;;&quot;Όχι&quot;"/>
    <numFmt numFmtId="167" formatCode="&quot;Αληθές&quot;;&quot;Αληθές&quot;;&quot;Ψευδές&quot;"/>
    <numFmt numFmtId="168" formatCode="&quot;Ενεργό&quot;;&quot;Ενεργό&quot;;&quot;Ανενεργό&quot;"/>
    <numFmt numFmtId="169" formatCode="[$€-2]\ #,##0.00_);[Red]\([$€-2]\ #,##0.00\)"/>
    <numFmt numFmtId="170" formatCode="#,##0.00\ &quot;€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1" applyNumberFormat="0" applyAlignment="0" applyProtection="0"/>
    <xf numFmtId="0" fontId="17" fillId="16" borderId="2" applyNumberFormat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0" borderId="0" applyNumberFormat="0" applyBorder="0" applyAlignment="0" applyProtection="0"/>
    <xf numFmtId="0" fontId="18" fillId="21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1" applyNumberFormat="0" applyAlignment="0" applyProtection="0"/>
  </cellStyleXfs>
  <cellXfs count="26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4" fontId="4" fillId="0" borderId="11" xfId="0" applyNumberFormat="1" applyFont="1" applyFill="1" applyBorder="1" applyAlignment="1">
      <alignment horizontal="right" vertical="center"/>
    </xf>
    <xf numFmtId="164" fontId="4" fillId="0" borderId="11" xfId="0" applyNumberFormat="1" applyFont="1" applyFill="1" applyBorder="1" applyAlignment="1">
      <alignment vertical="center"/>
    </xf>
    <xf numFmtId="0" fontId="33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4" fontId="4" fillId="0" borderId="12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11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vertical="center"/>
    </xf>
    <xf numFmtId="164" fontId="3" fillId="0" borderId="14" xfId="0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2" fontId="3" fillId="0" borderId="13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4" fillId="0" borderId="15" xfId="33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33" applyNumberFormat="1" applyFont="1" applyFill="1" applyBorder="1" applyAlignment="1">
      <alignment horizontal="center" vertical="center"/>
      <protection/>
    </xf>
    <xf numFmtId="4" fontId="4" fillId="0" borderId="0" xfId="33" applyNumberFormat="1" applyFont="1" applyFill="1" applyBorder="1" applyAlignment="1">
      <alignment horizontal="left" vertical="center"/>
      <protection/>
    </xf>
    <xf numFmtId="4" fontId="4" fillId="0" borderId="0" xfId="0" applyNumberFormat="1" applyFont="1" applyFill="1" applyBorder="1" applyAlignment="1">
      <alignment vertical="center"/>
    </xf>
    <xf numFmtId="4" fontId="3" fillId="0" borderId="0" xfId="33" applyNumberFormat="1" applyFont="1" applyFill="1" applyBorder="1" applyAlignment="1">
      <alignment horizontal="left" vertical="center"/>
      <protection/>
    </xf>
    <xf numFmtId="4" fontId="4" fillId="0" borderId="16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33" applyNumberFormat="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3" fillId="0" borderId="0" xfId="33" applyNumberFormat="1" applyFont="1" applyFill="1" applyBorder="1" applyAlignment="1">
      <alignment horizontal="center" vertical="center"/>
      <protection/>
    </xf>
    <xf numFmtId="3" fontId="3" fillId="0" borderId="0" xfId="33" applyNumberFormat="1" applyFont="1" applyFill="1" applyBorder="1" applyAlignment="1">
      <alignment horizontal="left" vertical="center"/>
      <protection/>
    </xf>
    <xf numFmtId="0" fontId="10" fillId="0" borderId="0" xfId="0" applyFont="1" applyFill="1" applyBorder="1" applyAlignment="1">
      <alignment vertical="justify" wrapText="1"/>
    </xf>
    <xf numFmtId="0" fontId="0" fillId="0" borderId="0" xfId="0" applyFont="1" applyAlignment="1">
      <alignment horizontal="center"/>
    </xf>
    <xf numFmtId="0" fontId="3" fillId="0" borderId="17" xfId="0" applyFont="1" applyFill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164" fontId="4" fillId="0" borderId="17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horizontal="left" vertical="center"/>
    </xf>
    <xf numFmtId="164" fontId="4" fillId="0" borderId="17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164" fontId="4" fillId="24" borderId="17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164" fontId="4" fillId="0" borderId="19" xfId="0" applyNumberFormat="1" applyFont="1" applyBorder="1" applyAlignment="1">
      <alignment vertical="center"/>
    </xf>
    <xf numFmtId="3" fontId="3" fillId="0" borderId="0" xfId="33" applyNumberFormat="1" applyFont="1" applyFill="1" applyBorder="1" applyAlignment="1">
      <alignment horizontal="right" vertical="center"/>
      <protection/>
    </xf>
    <xf numFmtId="2" fontId="4" fillId="0" borderId="0" xfId="0" applyNumberFormat="1" applyFont="1" applyAlignment="1">
      <alignment horizontal="right" vertical="center"/>
    </xf>
    <xf numFmtId="4" fontId="4" fillId="0" borderId="0" xfId="33" applyNumberFormat="1" applyFont="1" applyFill="1" applyBorder="1" applyAlignment="1">
      <alignment vertical="center"/>
      <protection/>
    </xf>
    <xf numFmtId="0" fontId="0" fillId="0" borderId="17" xfId="0" applyFont="1" applyBorder="1" applyAlignment="1">
      <alignment/>
    </xf>
    <xf numFmtId="2" fontId="4" fillId="0" borderId="17" xfId="0" applyNumberFormat="1" applyFont="1" applyBorder="1" applyAlignment="1">
      <alignment horizontal="right" vertical="center"/>
    </xf>
    <xf numFmtId="164" fontId="34" fillId="0" borderId="17" xfId="0" applyNumberFormat="1" applyFont="1" applyFill="1" applyBorder="1" applyAlignment="1">
      <alignment horizontal="right" vertical="center"/>
    </xf>
    <xf numFmtId="164" fontId="34" fillId="0" borderId="17" xfId="0" applyNumberFormat="1" applyFont="1" applyFill="1" applyBorder="1" applyAlignment="1">
      <alignment horizontal="left" vertical="center"/>
    </xf>
    <xf numFmtId="164" fontId="4" fillId="4" borderId="17" xfId="0" applyNumberFormat="1" applyFont="1" applyFill="1" applyBorder="1" applyAlignment="1">
      <alignment vertical="center"/>
    </xf>
    <xf numFmtId="164" fontId="4" fillId="10" borderId="17" xfId="0" applyNumberFormat="1" applyFont="1" applyFill="1" applyBorder="1" applyAlignment="1">
      <alignment horizontal="right" vertical="center"/>
    </xf>
    <xf numFmtId="164" fontId="4" fillId="0" borderId="17" xfId="0" applyNumberFormat="1" applyFont="1" applyFill="1" applyBorder="1" applyAlignment="1">
      <alignment horizontal="right" vertical="center" wrapText="1"/>
    </xf>
    <xf numFmtId="164" fontId="4" fillId="0" borderId="17" xfId="0" applyNumberFormat="1" applyFont="1" applyFill="1" applyBorder="1" applyAlignment="1">
      <alignment horizontal="left" vertical="center" wrapText="1"/>
    </xf>
    <xf numFmtId="164" fontId="4" fillId="0" borderId="17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164" fontId="4" fillId="0" borderId="17" xfId="0" applyNumberFormat="1" applyFont="1" applyBorder="1" applyAlignment="1">
      <alignment horizontal="right" vertical="center"/>
    </xf>
    <xf numFmtId="164" fontId="4" fillId="0" borderId="17" xfId="0" applyNumberFormat="1" applyFont="1" applyBorder="1" applyAlignment="1">
      <alignment horizontal="left" vertical="center"/>
    </xf>
    <xf numFmtId="164" fontId="4" fillId="24" borderId="17" xfId="0" applyNumberFormat="1" applyFont="1" applyFill="1" applyBorder="1" applyAlignment="1">
      <alignment horizontal="left" vertical="center"/>
    </xf>
    <xf numFmtId="4" fontId="0" fillId="0" borderId="0" xfId="0" applyNumberFormat="1" applyFont="1" applyAlignment="1">
      <alignment/>
    </xf>
    <xf numFmtId="0" fontId="8" fillId="0" borderId="0" xfId="0" applyFont="1" applyFill="1" applyBorder="1" applyAlignment="1">
      <alignment horizontal="center" vertical="top"/>
    </xf>
    <xf numFmtId="0" fontId="9" fillId="0" borderId="0" xfId="33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top"/>
    </xf>
    <xf numFmtId="2" fontId="11" fillId="0" borderId="0" xfId="0" applyNumberFormat="1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 horizontal="center" vertical="top"/>
    </xf>
    <xf numFmtId="0" fontId="8" fillId="0" borderId="0" xfId="33" applyNumberFormat="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 vertical="top"/>
    </xf>
    <xf numFmtId="0" fontId="9" fillId="0" borderId="0" xfId="33" applyNumberFormat="1" applyFont="1" applyFill="1" applyBorder="1" applyAlignment="1">
      <alignment horizontal="center" vertical="center" wrapText="1"/>
      <protection/>
    </xf>
    <xf numFmtId="0" fontId="10" fillId="0" borderId="0" xfId="33" applyNumberFormat="1" applyFont="1" applyFill="1" applyBorder="1" applyAlignment="1">
      <alignment vertical="center"/>
      <protection/>
    </xf>
    <xf numFmtId="0" fontId="10" fillId="0" borderId="0" xfId="33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2" fontId="11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20" xfId="0" applyFont="1" applyBorder="1" applyAlignment="1">
      <alignment/>
    </xf>
    <xf numFmtId="0" fontId="3" fillId="0" borderId="21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Font="1" applyBorder="1" applyAlignment="1">
      <alignment/>
    </xf>
    <xf numFmtId="16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Border="1" applyAlignment="1">
      <alignment/>
    </xf>
    <xf numFmtId="2" fontId="4" fillId="0" borderId="0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right"/>
    </xf>
    <xf numFmtId="0" fontId="0" fillId="0" borderId="26" xfId="0" applyFont="1" applyBorder="1" applyAlignment="1">
      <alignment/>
    </xf>
    <xf numFmtId="0" fontId="4" fillId="0" borderId="23" xfId="0" applyFont="1" applyBorder="1" applyAlignment="1">
      <alignment vertical="center" wrapText="1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right" vertical="center"/>
    </xf>
    <xf numFmtId="164" fontId="4" fillId="0" borderId="23" xfId="0" applyNumberFormat="1" applyFont="1" applyBorder="1" applyAlignment="1">
      <alignment vertical="center"/>
    </xf>
    <xf numFmtId="164" fontId="4" fillId="0" borderId="23" xfId="0" applyNumberFormat="1" applyFont="1" applyFill="1" applyBorder="1" applyAlignment="1">
      <alignment horizontal="right" vertical="center"/>
    </xf>
    <xf numFmtId="0" fontId="0" fillId="0" borderId="27" xfId="0" applyFont="1" applyBorder="1" applyAlignment="1">
      <alignment/>
    </xf>
    <xf numFmtId="0" fontId="3" fillId="0" borderId="28" xfId="0" applyFont="1" applyFill="1" applyBorder="1" applyAlignment="1">
      <alignment vertical="center"/>
    </xf>
    <xf numFmtId="0" fontId="3" fillId="0" borderId="28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right" vertical="center"/>
    </xf>
    <xf numFmtId="164" fontId="3" fillId="0" borderId="28" xfId="0" applyNumberFormat="1" applyFont="1" applyBorder="1" applyAlignment="1">
      <alignment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64" fontId="3" fillId="4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6" fillId="0" borderId="30" xfId="33" applyNumberFormat="1" applyFont="1" applyFill="1" applyBorder="1" applyAlignment="1">
      <alignment horizontal="left" vertical="center"/>
      <protection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2" fontId="0" fillId="0" borderId="30" xfId="0" applyNumberFormat="1" applyBorder="1" applyAlignment="1">
      <alignment horizontal="right" vertical="center"/>
    </xf>
    <xf numFmtId="0" fontId="4" fillId="0" borderId="21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right" vertical="center"/>
    </xf>
    <xf numFmtId="164" fontId="4" fillId="0" borderId="21" xfId="0" applyNumberFormat="1" applyFont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horizontal="left" vertical="center"/>
    </xf>
    <xf numFmtId="0" fontId="3" fillId="0" borderId="31" xfId="0" applyFont="1" applyFill="1" applyBorder="1" applyAlignment="1">
      <alignment vertical="center"/>
    </xf>
    <xf numFmtId="0" fontId="4" fillId="0" borderId="31" xfId="0" applyFont="1" applyBorder="1" applyAlignment="1">
      <alignment vertical="center" wrapText="1"/>
    </xf>
    <xf numFmtId="0" fontId="4" fillId="0" borderId="31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2" fontId="4" fillId="0" borderId="31" xfId="0" applyNumberFormat="1" applyFont="1" applyBorder="1" applyAlignment="1">
      <alignment horizontal="right" vertical="center"/>
    </xf>
    <xf numFmtId="164" fontId="4" fillId="0" borderId="31" xfId="0" applyNumberFormat="1" applyFont="1" applyBorder="1" applyAlignment="1">
      <alignment vertical="center"/>
    </xf>
    <xf numFmtId="164" fontId="4" fillId="0" borderId="31" xfId="0" applyNumberFormat="1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2" fontId="0" fillId="0" borderId="30" xfId="0" applyNumberFormat="1" applyFill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3" fillId="0" borderId="21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/>
    </xf>
    <xf numFmtId="164" fontId="4" fillId="0" borderId="21" xfId="0" applyNumberFormat="1" applyFont="1" applyBorder="1" applyAlignment="1">
      <alignment horizontal="right" vertical="center"/>
    </xf>
    <xf numFmtId="164" fontId="4" fillId="0" borderId="21" xfId="0" applyNumberFormat="1" applyFont="1" applyBorder="1" applyAlignment="1">
      <alignment horizontal="left" vertical="center"/>
    </xf>
    <xf numFmtId="164" fontId="4" fillId="24" borderId="21" xfId="0" applyNumberFormat="1" applyFont="1" applyFill="1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3" fillId="0" borderId="31" xfId="0" applyFont="1" applyFill="1" applyBorder="1" applyAlignment="1">
      <alignment horizontal="left" vertical="center"/>
    </xf>
    <xf numFmtId="0" fontId="4" fillId="0" borderId="31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/>
    </xf>
    <xf numFmtId="164" fontId="4" fillId="0" borderId="31" xfId="0" applyNumberFormat="1" applyFont="1" applyBorder="1" applyAlignment="1">
      <alignment horizontal="right" vertical="center"/>
    </xf>
    <xf numFmtId="164" fontId="4" fillId="0" borderId="31" xfId="0" applyNumberFormat="1" applyFont="1" applyBorder="1" applyAlignment="1">
      <alignment horizontal="left" vertical="center"/>
    </xf>
    <xf numFmtId="164" fontId="4" fillId="24" borderId="31" xfId="0" applyNumberFormat="1" applyFont="1" applyFill="1" applyBorder="1" applyAlignment="1">
      <alignment horizontal="left" vertical="center"/>
    </xf>
    <xf numFmtId="0" fontId="13" fillId="0" borderId="10" xfId="33" applyNumberFormat="1" applyFont="1" applyFill="1" applyBorder="1" applyAlignment="1">
      <alignment horizontal="left" vertical="center" wrapText="1"/>
      <protection/>
    </xf>
    <xf numFmtId="0" fontId="4" fillId="0" borderId="10" xfId="33" applyNumberFormat="1" applyFont="1" applyFill="1" applyBorder="1" applyAlignment="1">
      <alignment horizontal="center" vertical="center"/>
      <protection/>
    </xf>
    <xf numFmtId="164" fontId="4" fillId="0" borderId="10" xfId="33" applyNumberFormat="1" applyFont="1" applyFill="1" applyBorder="1" applyAlignment="1">
      <alignment horizontal="right" vertical="center"/>
      <protection/>
    </xf>
    <xf numFmtId="0" fontId="13" fillId="0" borderId="10" xfId="0" applyFont="1" applyFill="1" applyBorder="1" applyAlignment="1">
      <alignment vertical="center" wrapText="1"/>
    </xf>
    <xf numFmtId="2" fontId="0" fillId="0" borderId="0" xfId="0" applyNumberFormat="1" applyFont="1" applyAlignment="1">
      <alignment/>
    </xf>
    <xf numFmtId="0" fontId="0" fillId="0" borderId="20" xfId="0" applyFont="1" applyBorder="1" applyAlignment="1">
      <alignment horizontal="center"/>
    </xf>
    <xf numFmtId="2" fontId="4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3" fillId="0" borderId="30" xfId="0" applyFont="1" applyBorder="1" applyAlignment="1">
      <alignment vertical="center" wrapText="1"/>
    </xf>
    <xf numFmtId="0" fontId="3" fillId="0" borderId="30" xfId="0" applyFont="1" applyBorder="1" applyAlignment="1">
      <alignment vertical="center"/>
    </xf>
    <xf numFmtId="2" fontId="3" fillId="0" borderId="30" xfId="0" applyNumberFormat="1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 wrapText="1"/>
    </xf>
    <xf numFmtId="164" fontId="3" fillId="4" borderId="34" xfId="0" applyNumberFormat="1" applyFont="1" applyFill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center" vertical="center" wrapText="1"/>
    </xf>
    <xf numFmtId="0" fontId="6" fillId="0" borderId="26" xfId="33" applyNumberFormat="1" applyFont="1" applyFill="1" applyBorder="1" applyAlignment="1">
      <alignment horizontal="left" vertical="center"/>
      <protection/>
    </xf>
    <xf numFmtId="0" fontId="6" fillId="0" borderId="23" xfId="33" applyNumberFormat="1" applyFont="1" applyFill="1" applyBorder="1" applyAlignment="1">
      <alignment horizontal="left" vertical="center"/>
      <protection/>
    </xf>
    <xf numFmtId="0" fontId="9" fillId="0" borderId="1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" fillId="0" borderId="36" xfId="0" applyFont="1" applyBorder="1" applyAlignment="1">
      <alignment horizontal="right" vertical="center" wrapText="1"/>
    </xf>
    <xf numFmtId="0" fontId="3" fillId="0" borderId="37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3" fontId="7" fillId="24" borderId="38" xfId="33" applyNumberFormat="1" applyFont="1" applyFill="1" applyBorder="1" applyAlignment="1">
      <alignment horizontal="center" vertical="center" wrapText="1"/>
      <protection/>
    </xf>
    <xf numFmtId="0" fontId="35" fillId="24" borderId="39" xfId="0" applyFont="1" applyFill="1" applyBorder="1" applyAlignment="1">
      <alignment horizontal="center" vertical="center" wrapText="1"/>
    </xf>
    <xf numFmtId="0" fontId="35" fillId="24" borderId="40" xfId="0" applyFont="1" applyFill="1" applyBorder="1" applyAlignment="1">
      <alignment horizontal="center" vertical="center" wrapText="1"/>
    </xf>
    <xf numFmtId="0" fontId="35" fillId="24" borderId="41" xfId="0" applyFont="1" applyFill="1" applyBorder="1" applyAlignment="1">
      <alignment horizontal="center" vertical="center" wrapText="1"/>
    </xf>
    <xf numFmtId="0" fontId="35" fillId="24" borderId="42" xfId="0" applyFont="1" applyFill="1" applyBorder="1" applyAlignment="1">
      <alignment horizontal="center" vertical="center" wrapText="1"/>
    </xf>
    <xf numFmtId="0" fontId="35" fillId="24" borderId="43" xfId="0" applyFont="1" applyFill="1" applyBorder="1" applyAlignment="1">
      <alignment horizontal="center" vertical="center" wrapText="1"/>
    </xf>
    <xf numFmtId="0" fontId="0" fillId="24" borderId="44" xfId="0" applyFont="1" applyFill="1" applyBorder="1" applyAlignment="1">
      <alignment horizontal="center"/>
    </xf>
    <xf numFmtId="164" fontId="3" fillId="24" borderId="23" xfId="0" applyNumberFormat="1" applyFont="1" applyFill="1" applyBorder="1" applyAlignment="1">
      <alignment horizontal="right" vertical="center"/>
    </xf>
    <xf numFmtId="0" fontId="3" fillId="24" borderId="23" xfId="0" applyFont="1" applyFill="1" applyBorder="1" applyAlignment="1">
      <alignment vertical="center"/>
    </xf>
    <xf numFmtId="0" fontId="3" fillId="24" borderId="32" xfId="0" applyFont="1" applyFill="1" applyBorder="1" applyAlignment="1">
      <alignment horizontal="right" vertical="center" wrapText="1"/>
    </xf>
    <xf numFmtId="0" fontId="3" fillId="24" borderId="31" xfId="0" applyFont="1" applyFill="1" applyBorder="1" applyAlignment="1">
      <alignment horizontal="right" vertical="center" wrapText="1"/>
    </xf>
    <xf numFmtId="44" fontId="4" fillId="0" borderId="16" xfId="0" applyNumberFormat="1" applyFont="1" applyFill="1" applyBorder="1" applyAlignment="1">
      <alignment vertical="center"/>
    </xf>
    <xf numFmtId="44" fontId="0" fillId="0" borderId="16" xfId="0" applyNumberFormat="1" applyFont="1" applyBorder="1" applyAlignment="1">
      <alignment/>
    </xf>
    <xf numFmtId="44" fontId="0" fillId="0" borderId="45" xfId="0" applyNumberFormat="1" applyFont="1" applyBorder="1" applyAlignment="1">
      <alignment/>
    </xf>
    <xf numFmtId="44" fontId="0" fillId="0" borderId="46" xfId="0" applyNumberFormat="1" applyFont="1" applyBorder="1" applyAlignment="1">
      <alignment/>
    </xf>
    <xf numFmtId="44" fontId="0" fillId="0" borderId="35" xfId="0" applyNumberFormat="1" applyBorder="1" applyAlignment="1">
      <alignment vertical="center"/>
    </xf>
    <xf numFmtId="44" fontId="8" fillId="0" borderId="46" xfId="0" applyNumberFormat="1" applyFont="1" applyFill="1" applyBorder="1" applyAlignment="1">
      <alignment/>
    </xf>
    <xf numFmtId="44" fontId="8" fillId="0" borderId="47" xfId="0" applyNumberFormat="1" applyFont="1" applyFill="1" applyBorder="1" applyAlignment="1">
      <alignment/>
    </xf>
    <xf numFmtId="44" fontId="8" fillId="0" borderId="48" xfId="0" applyNumberFormat="1" applyFont="1" applyFill="1" applyBorder="1" applyAlignment="1">
      <alignment/>
    </xf>
    <xf numFmtId="44" fontId="0" fillId="0" borderId="35" xfId="0" applyNumberFormat="1" applyFill="1" applyBorder="1" applyAlignment="1">
      <alignment vertical="center"/>
    </xf>
    <xf numFmtId="44" fontId="8" fillId="0" borderId="46" xfId="0" applyNumberFormat="1" applyFont="1" applyBorder="1" applyAlignment="1">
      <alignment/>
    </xf>
    <xf numFmtId="44" fontId="8" fillId="0" borderId="47" xfId="0" applyNumberFormat="1" applyFont="1" applyBorder="1" applyAlignment="1">
      <alignment/>
    </xf>
    <xf numFmtId="44" fontId="8" fillId="0" borderId="48" xfId="0" applyNumberFormat="1" applyFont="1" applyBorder="1" applyAlignment="1">
      <alignment/>
    </xf>
    <xf numFmtId="44" fontId="8" fillId="0" borderId="49" xfId="0" applyNumberFormat="1" applyFont="1" applyBorder="1" applyAlignment="1">
      <alignment/>
    </xf>
    <xf numFmtId="44" fontId="8" fillId="0" borderId="50" xfId="0" applyNumberFormat="1" applyFont="1" applyBorder="1" applyAlignment="1">
      <alignment/>
    </xf>
    <xf numFmtId="44" fontId="8" fillId="24" borderId="51" xfId="0" applyNumberFormat="1" applyFont="1" applyFill="1" applyBorder="1" applyAlignment="1">
      <alignment/>
    </xf>
    <xf numFmtId="44" fontId="8" fillId="0" borderId="0" xfId="0" applyNumberFormat="1" applyFont="1" applyFill="1" applyAlignment="1">
      <alignment vertical="top"/>
    </xf>
    <xf numFmtId="44" fontId="8" fillId="0" borderId="0" xfId="0" applyNumberFormat="1" applyFont="1" applyFill="1" applyBorder="1" applyAlignment="1">
      <alignment vertical="top"/>
    </xf>
    <xf numFmtId="44" fontId="0" fillId="0" borderId="0" xfId="0" applyNumberFormat="1" applyFont="1" applyFill="1" applyBorder="1" applyAlignment="1">
      <alignment vertical="top"/>
    </xf>
    <xf numFmtId="44" fontId="0" fillId="0" borderId="0" xfId="0" applyNumberFormat="1" applyFont="1" applyAlignment="1">
      <alignment/>
    </xf>
    <xf numFmtId="0" fontId="7" fillId="0" borderId="0" xfId="33" applyNumberFormat="1" applyFont="1" applyFill="1" applyBorder="1" applyAlignment="1">
      <alignment horizontal="center" vertical="center"/>
      <protection/>
    </xf>
    <xf numFmtId="0" fontId="7" fillId="0" borderId="16" xfId="33" applyNumberFormat="1" applyFont="1" applyFill="1" applyBorder="1" applyAlignment="1">
      <alignment horizontal="center" vertical="center"/>
      <protection/>
    </xf>
    <xf numFmtId="0" fontId="35" fillId="24" borderId="42" xfId="33" applyNumberFormat="1" applyFont="1" applyFill="1" applyBorder="1" applyAlignment="1">
      <alignment horizontal="center" vertical="center"/>
      <protection/>
    </xf>
    <xf numFmtId="3" fontId="7" fillId="24" borderId="39" xfId="33" applyNumberFormat="1" applyFont="1" applyFill="1" applyBorder="1" applyAlignment="1">
      <alignment horizontal="center" vertical="center" wrapText="1"/>
      <protection/>
    </xf>
    <xf numFmtId="3" fontId="7" fillId="24" borderId="40" xfId="33" applyNumberFormat="1" applyFont="1" applyFill="1" applyBorder="1" applyAlignment="1">
      <alignment horizontal="center" vertical="center" wrapText="1"/>
      <protection/>
    </xf>
    <xf numFmtId="3" fontId="7" fillId="24" borderId="52" xfId="33" applyNumberFormat="1" applyFont="1" applyFill="1" applyBorder="1" applyAlignment="1">
      <alignment horizontal="center" vertical="center" wrapText="1"/>
      <protection/>
    </xf>
    <xf numFmtId="3" fontId="7" fillId="24" borderId="0" xfId="33" applyNumberFormat="1" applyFont="1" applyFill="1" applyBorder="1" applyAlignment="1">
      <alignment horizontal="center" vertical="center" wrapText="1"/>
      <protection/>
    </xf>
    <xf numFmtId="3" fontId="7" fillId="24" borderId="19" xfId="33" applyNumberFormat="1" applyFont="1" applyFill="1" applyBorder="1" applyAlignment="1">
      <alignment horizontal="center" vertical="center" wrapText="1"/>
      <protection/>
    </xf>
    <xf numFmtId="0" fontId="7" fillId="24" borderId="41" xfId="0" applyFont="1" applyFill="1" applyBorder="1" applyAlignment="1">
      <alignment horizontal="center" vertical="center"/>
    </xf>
    <xf numFmtId="4" fontId="35" fillId="24" borderId="42" xfId="33" applyNumberFormat="1" applyFont="1" applyFill="1" applyBorder="1" applyAlignment="1">
      <alignment horizontal="center" vertical="center"/>
      <protection/>
    </xf>
    <xf numFmtId="4" fontId="35" fillId="24" borderId="42" xfId="0" applyNumberFormat="1" applyFont="1" applyFill="1" applyBorder="1" applyAlignment="1">
      <alignment horizontal="center" vertical="center"/>
    </xf>
    <xf numFmtId="4" fontId="7" fillId="24" borderId="42" xfId="33" applyNumberFormat="1" applyFont="1" applyFill="1" applyBorder="1" applyAlignment="1">
      <alignment horizontal="center" vertical="center"/>
      <protection/>
    </xf>
    <xf numFmtId="44" fontId="35" fillId="24" borderId="43" xfId="0" applyNumberFormat="1" applyFont="1" applyFill="1" applyBorder="1" applyAlignment="1">
      <alignment horizontal="center" vertical="center"/>
    </xf>
    <xf numFmtId="0" fontId="8" fillId="24" borderId="53" xfId="0" applyFont="1" applyFill="1" applyBorder="1" applyAlignment="1">
      <alignment vertical="center"/>
    </xf>
    <xf numFmtId="0" fontId="8" fillId="24" borderId="53" xfId="0" applyFont="1" applyFill="1" applyBorder="1" applyAlignment="1">
      <alignment vertical="center" wrapText="1"/>
    </xf>
    <xf numFmtId="0" fontId="8" fillId="24" borderId="53" xfId="0" applyFont="1" applyFill="1" applyBorder="1" applyAlignment="1">
      <alignment horizontal="center" vertical="center"/>
    </xf>
    <xf numFmtId="2" fontId="8" fillId="24" borderId="53" xfId="0" applyNumberFormat="1" applyFont="1" applyFill="1" applyBorder="1" applyAlignment="1">
      <alignment horizontal="center" vertical="center"/>
    </xf>
    <xf numFmtId="164" fontId="8" fillId="24" borderId="53" xfId="0" applyNumberFormat="1" applyFont="1" applyFill="1" applyBorder="1" applyAlignment="1">
      <alignment vertical="center"/>
    </xf>
    <xf numFmtId="164" fontId="8" fillId="24" borderId="54" xfId="0" applyNumberFormat="1" applyFont="1" applyFill="1" applyBorder="1" applyAlignment="1">
      <alignment vertical="center"/>
    </xf>
    <xf numFmtId="164" fontId="8" fillId="24" borderId="23" xfId="0" applyNumberFormat="1" applyFont="1" applyFill="1" applyBorder="1" applyAlignment="1">
      <alignment horizontal="right" vertical="center"/>
    </xf>
    <xf numFmtId="0" fontId="8" fillId="24" borderId="23" xfId="0" applyFont="1" applyFill="1" applyBorder="1" applyAlignment="1">
      <alignment vertical="center"/>
    </xf>
    <xf numFmtId="0" fontId="0" fillId="0" borderId="55" xfId="0" applyFont="1" applyBorder="1" applyAlignment="1">
      <alignment horizontal="center"/>
    </xf>
    <xf numFmtId="0" fontId="3" fillId="0" borderId="56" xfId="0" applyFont="1" applyFill="1" applyBorder="1" applyAlignment="1">
      <alignment vertical="center"/>
    </xf>
    <xf numFmtId="0" fontId="4" fillId="0" borderId="56" xfId="0" applyFont="1" applyBorder="1" applyAlignment="1">
      <alignment vertical="center" wrapText="1"/>
    </xf>
    <xf numFmtId="0" fontId="4" fillId="0" borderId="56" xfId="0" applyFont="1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164" fontId="4" fillId="0" borderId="56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/>
    </xf>
    <xf numFmtId="164" fontId="4" fillId="0" borderId="57" xfId="0" applyNumberFormat="1" applyFont="1" applyFill="1" applyBorder="1" applyAlignment="1">
      <alignment horizontal="left" vertical="center"/>
    </xf>
    <xf numFmtId="164" fontId="4" fillId="0" borderId="58" xfId="0" applyNumberFormat="1" applyFont="1" applyFill="1" applyBorder="1" applyAlignment="1">
      <alignment horizontal="left" vertical="center"/>
    </xf>
    <xf numFmtId="164" fontId="4" fillId="24" borderId="58" xfId="0" applyNumberFormat="1" applyFont="1" applyFill="1" applyBorder="1" applyAlignment="1">
      <alignment horizontal="right" vertical="center"/>
    </xf>
    <xf numFmtId="164" fontId="4" fillId="0" borderId="58" xfId="0" applyNumberFormat="1" applyFont="1" applyFill="1" applyBorder="1" applyAlignment="1">
      <alignment vertical="center"/>
    </xf>
    <xf numFmtId="0" fontId="6" fillId="0" borderId="16" xfId="33" applyNumberFormat="1" applyFont="1" applyFill="1" applyBorder="1" applyAlignment="1">
      <alignment horizontal="left" vertical="center"/>
      <protection/>
    </xf>
    <xf numFmtId="170" fontId="8" fillId="0" borderId="17" xfId="0" applyNumberFormat="1" applyFont="1" applyBorder="1" applyAlignment="1">
      <alignment horizontal="center"/>
    </xf>
    <xf numFmtId="170" fontId="0" fillId="0" borderId="17" xfId="0" applyNumberFormat="1" applyFont="1" applyBorder="1" applyAlignment="1">
      <alignment horizontal="right"/>
    </xf>
    <xf numFmtId="170" fontId="8" fillId="0" borderId="17" xfId="0" applyNumberFormat="1" applyFont="1" applyBorder="1" applyAlignment="1">
      <alignment horizontal="right"/>
    </xf>
    <xf numFmtId="170" fontId="8" fillId="24" borderId="17" xfId="0" applyNumberFormat="1" applyFont="1" applyFill="1" applyBorder="1" applyAlignment="1">
      <alignment horizontal="right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NEOPRoMEL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SheetLayoutView="100" zoomScalePageLayoutView="0" workbookViewId="0" topLeftCell="A1">
      <selection activeCell="D29" sqref="D29"/>
    </sheetView>
  </sheetViews>
  <sheetFormatPr defaultColWidth="9.140625" defaultRowHeight="12.75"/>
  <cols>
    <col min="1" max="1" width="5.28125" style="46" customWidth="1"/>
    <col min="2" max="2" width="12.28125" style="6" customWidth="1"/>
    <col min="3" max="3" width="72.8515625" style="7" customWidth="1"/>
    <col min="4" max="4" width="12.00390625" style="1" customWidth="1"/>
    <col min="5" max="5" width="10.140625" style="8" customWidth="1"/>
    <col min="6" max="6" width="10.140625" style="30" customWidth="1"/>
    <col min="7" max="7" width="9.140625" style="9" customWidth="1"/>
    <col min="8" max="8" width="10.28125" style="9" bestFit="1" customWidth="1"/>
    <col min="9" max="9" width="9.57421875" style="10" hidden="1" customWidth="1"/>
    <col min="10" max="10" width="11.7109375" style="1" hidden="1" customWidth="1"/>
    <col min="11" max="11" width="11.7109375" style="23" bestFit="1" customWidth="1"/>
    <col min="12" max="12" width="9.57421875" style="11" bestFit="1" customWidth="1"/>
    <col min="13" max="16384" width="9.140625" style="11" customWidth="1"/>
  </cols>
  <sheetData>
    <row r="1" spans="1:11" s="33" customFormat="1" ht="25.5" customHeight="1">
      <c r="A1" s="117"/>
      <c r="B1" s="193" t="s">
        <v>266</v>
      </c>
      <c r="C1" s="193"/>
      <c r="D1" s="31"/>
      <c r="E1" s="32"/>
      <c r="F1" s="199" t="s">
        <v>277</v>
      </c>
      <c r="G1" s="200"/>
      <c r="H1" s="200"/>
      <c r="I1" s="200"/>
      <c r="J1" s="200"/>
      <c r="K1" s="201"/>
    </row>
    <row r="2" spans="1:11" s="33" customFormat="1" ht="26.25" customHeight="1">
      <c r="A2" s="118"/>
      <c r="B2" s="194" t="s">
        <v>270</v>
      </c>
      <c r="C2" s="194"/>
      <c r="D2" s="34"/>
      <c r="E2" s="35"/>
      <c r="F2" s="202"/>
      <c r="G2" s="203"/>
      <c r="H2" s="203"/>
      <c r="I2" s="203"/>
      <c r="J2" s="203"/>
      <c r="K2" s="204"/>
    </row>
    <row r="3" spans="1:11" s="33" customFormat="1" ht="15">
      <c r="A3" s="118"/>
      <c r="B3" s="194" t="s">
        <v>267</v>
      </c>
      <c r="C3" s="194"/>
      <c r="D3" s="34"/>
      <c r="E3" s="35"/>
      <c r="F3" s="35"/>
      <c r="G3" s="36"/>
      <c r="H3" s="37"/>
      <c r="I3" s="38"/>
      <c r="J3" s="36"/>
      <c r="K3" s="39"/>
    </row>
    <row r="4" spans="1:11" s="33" customFormat="1" ht="15">
      <c r="A4" s="118"/>
      <c r="B4" s="194" t="s">
        <v>268</v>
      </c>
      <c r="C4" s="194"/>
      <c r="D4" s="40"/>
      <c r="E4" s="35"/>
      <c r="F4" s="41" t="s">
        <v>271</v>
      </c>
      <c r="G4" s="36"/>
      <c r="H4" s="37"/>
      <c r="I4" s="42"/>
      <c r="J4" s="37"/>
      <c r="K4" s="39"/>
    </row>
    <row r="5" spans="1:11" s="33" customFormat="1" ht="12.75" customHeight="1">
      <c r="A5" s="118"/>
      <c r="B5" s="194" t="s">
        <v>269</v>
      </c>
      <c r="C5" s="194"/>
      <c r="D5" s="45"/>
      <c r="E5" s="43"/>
      <c r="F5" s="44"/>
      <c r="G5" s="36"/>
      <c r="H5" s="44"/>
      <c r="I5" s="42"/>
      <c r="J5" s="37"/>
      <c r="K5" s="39"/>
    </row>
    <row r="6" spans="1:11" ht="12.75" hidden="1">
      <c r="A6" s="182"/>
      <c r="B6" s="115"/>
      <c r="C6" s="54"/>
      <c r="D6" s="55"/>
      <c r="E6" s="56"/>
      <c r="F6" s="57"/>
      <c r="G6" s="58"/>
      <c r="H6" s="58"/>
      <c r="I6" s="18"/>
      <c r="J6" s="55"/>
      <c r="K6" s="121"/>
    </row>
    <row r="7" spans="1:11" ht="13.5" thickBot="1">
      <c r="A7" s="182"/>
      <c r="B7" s="115"/>
      <c r="C7" s="54"/>
      <c r="D7" s="55"/>
      <c r="E7" s="56"/>
      <c r="F7" s="57"/>
      <c r="G7" s="58"/>
      <c r="H7" s="58"/>
      <c r="I7" s="18"/>
      <c r="J7" s="55"/>
      <c r="K7" s="121"/>
    </row>
    <row r="8" spans="1:11" ht="24.75" thickBot="1">
      <c r="A8" s="183" t="s">
        <v>272</v>
      </c>
      <c r="B8" s="184" t="s">
        <v>1</v>
      </c>
      <c r="C8" s="185" t="s">
        <v>60</v>
      </c>
      <c r="D8" s="185" t="s">
        <v>2</v>
      </c>
      <c r="E8" s="186" t="s">
        <v>3</v>
      </c>
      <c r="F8" s="187" t="s">
        <v>264</v>
      </c>
      <c r="G8" s="188" t="s">
        <v>61</v>
      </c>
      <c r="H8" s="188" t="s">
        <v>275</v>
      </c>
      <c r="I8" s="189" t="s">
        <v>61</v>
      </c>
      <c r="J8" s="189" t="s">
        <v>62</v>
      </c>
      <c r="K8" s="190" t="s">
        <v>276</v>
      </c>
    </row>
    <row r="9" spans="1:11" s="19" customFormat="1" ht="18" customHeight="1" thickBot="1">
      <c r="A9" s="191" t="s">
        <v>224</v>
      </c>
      <c r="B9" s="192"/>
      <c r="C9" s="192"/>
      <c r="D9" s="192"/>
      <c r="E9" s="192"/>
      <c r="F9" s="192"/>
      <c r="G9" s="192"/>
      <c r="H9" s="192"/>
      <c r="I9" s="192"/>
      <c r="J9" s="192"/>
      <c r="K9" s="262"/>
    </row>
    <row r="10" spans="1:11" ht="12.75" customHeight="1">
      <c r="A10" s="178">
        <v>1</v>
      </c>
      <c r="B10" s="111" t="s">
        <v>22</v>
      </c>
      <c r="C10" s="142" t="s">
        <v>281</v>
      </c>
      <c r="D10" s="143" t="s">
        <v>23</v>
      </c>
      <c r="E10" s="144" t="s">
        <v>4</v>
      </c>
      <c r="F10" s="179">
        <v>37</v>
      </c>
      <c r="G10" s="146">
        <v>1.65</v>
      </c>
      <c r="H10" s="146">
        <f aca="true" t="shared" si="0" ref="H10:H19">ROUND(G10*F10,2)</f>
        <v>61.05</v>
      </c>
      <c r="I10" s="147">
        <v>1.5</v>
      </c>
      <c r="J10" s="258"/>
      <c r="K10" s="263">
        <f>SUM(H10:H33)</f>
        <v>96573.01</v>
      </c>
    </row>
    <row r="11" spans="1:11" ht="12.75" customHeight="1">
      <c r="A11" s="180">
        <v>2</v>
      </c>
      <c r="B11" s="47" t="s">
        <v>24</v>
      </c>
      <c r="C11" s="48" t="s">
        <v>282</v>
      </c>
      <c r="D11" s="49" t="s">
        <v>25</v>
      </c>
      <c r="E11" s="50" t="s">
        <v>6</v>
      </c>
      <c r="F11" s="51">
        <f>37*5</f>
        <v>185</v>
      </c>
      <c r="G11" s="52">
        <v>0.35</v>
      </c>
      <c r="H11" s="52">
        <f t="shared" si="0"/>
        <v>64.75</v>
      </c>
      <c r="I11" s="59">
        <v>0.3</v>
      </c>
      <c r="J11" s="259"/>
      <c r="K11" s="263"/>
    </row>
    <row r="12" spans="1:11" ht="12.75">
      <c r="A12" s="180">
        <v>3</v>
      </c>
      <c r="B12" s="47" t="s">
        <v>170</v>
      </c>
      <c r="C12" s="48" t="s">
        <v>283</v>
      </c>
      <c r="D12" s="49" t="s">
        <v>171</v>
      </c>
      <c r="E12" s="50" t="s">
        <v>8</v>
      </c>
      <c r="F12" s="51">
        <v>5</v>
      </c>
      <c r="G12" s="52">
        <v>4.5</v>
      </c>
      <c r="H12" s="52">
        <f t="shared" si="0"/>
        <v>22.5</v>
      </c>
      <c r="I12" s="61">
        <v>4</v>
      </c>
      <c r="J12" s="259"/>
      <c r="K12" s="263"/>
    </row>
    <row r="13" spans="1:11" ht="12.75">
      <c r="A13" s="180">
        <v>4</v>
      </c>
      <c r="B13" s="47" t="s">
        <v>65</v>
      </c>
      <c r="C13" s="48" t="s">
        <v>66</v>
      </c>
      <c r="D13" s="49" t="s">
        <v>67</v>
      </c>
      <c r="E13" s="50" t="s">
        <v>5</v>
      </c>
      <c r="F13" s="51">
        <f>37*5</f>
        <v>185</v>
      </c>
      <c r="G13" s="52">
        <v>2.2</v>
      </c>
      <c r="H13" s="52">
        <f t="shared" si="0"/>
        <v>407</v>
      </c>
      <c r="I13" s="61">
        <v>2</v>
      </c>
      <c r="J13" s="259"/>
      <c r="K13" s="263"/>
    </row>
    <row r="14" spans="1:11" ht="12.75">
      <c r="A14" s="180">
        <f aca="true" t="shared" si="1" ref="A14:A33">A13+1</f>
        <v>5</v>
      </c>
      <c r="B14" s="47" t="s">
        <v>97</v>
      </c>
      <c r="C14" s="48" t="s">
        <v>98</v>
      </c>
      <c r="D14" s="49" t="s">
        <v>99</v>
      </c>
      <c r="E14" s="50" t="s">
        <v>8</v>
      </c>
      <c r="F14" s="51">
        <f>ROUND(0.4*0.8*0.2*4*6.5,2)</f>
        <v>1.66</v>
      </c>
      <c r="G14" s="52">
        <v>22.5</v>
      </c>
      <c r="H14" s="52">
        <f t="shared" si="0"/>
        <v>37.35</v>
      </c>
      <c r="I14" s="61">
        <v>20</v>
      </c>
      <c r="J14" s="259"/>
      <c r="K14" s="263"/>
    </row>
    <row r="15" spans="1:11" ht="12.75">
      <c r="A15" s="180">
        <f t="shared" si="1"/>
        <v>6</v>
      </c>
      <c r="B15" s="47" t="s">
        <v>100</v>
      </c>
      <c r="C15" s="48" t="s">
        <v>101</v>
      </c>
      <c r="D15" s="49" t="s">
        <v>102</v>
      </c>
      <c r="E15" s="50" t="s">
        <v>8</v>
      </c>
      <c r="F15" s="51">
        <f>F14</f>
        <v>1.66</v>
      </c>
      <c r="G15" s="52">
        <v>5.6</v>
      </c>
      <c r="H15" s="52">
        <f t="shared" si="0"/>
        <v>9.3</v>
      </c>
      <c r="I15" s="61">
        <v>5</v>
      </c>
      <c r="J15" s="259"/>
      <c r="K15" s="263"/>
    </row>
    <row r="16" spans="1:11" ht="24">
      <c r="A16" s="180">
        <f t="shared" si="1"/>
        <v>7</v>
      </c>
      <c r="B16" s="47" t="s">
        <v>123</v>
      </c>
      <c r="C16" s="48" t="s">
        <v>284</v>
      </c>
      <c r="D16" s="49" t="s">
        <v>124</v>
      </c>
      <c r="E16" s="50" t="s">
        <v>8</v>
      </c>
      <c r="F16" s="51">
        <f>50*0.15+3.6*0.5*0.15+50*0.1</f>
        <v>12.77</v>
      </c>
      <c r="G16" s="52">
        <v>28</v>
      </c>
      <c r="H16" s="52">
        <f t="shared" si="0"/>
        <v>357.56</v>
      </c>
      <c r="I16" s="61">
        <v>25</v>
      </c>
      <c r="J16" s="259"/>
      <c r="K16" s="263"/>
    </row>
    <row r="17" spans="1:11" ht="24">
      <c r="A17" s="180">
        <f t="shared" si="1"/>
        <v>8</v>
      </c>
      <c r="B17" s="47" t="s">
        <v>125</v>
      </c>
      <c r="C17" s="48" t="s">
        <v>285</v>
      </c>
      <c r="D17" s="49" t="s">
        <v>124</v>
      </c>
      <c r="E17" s="50" t="s">
        <v>8</v>
      </c>
      <c r="F17" s="51">
        <f>ROUND(5*0.25+22.15*0.13,2)</f>
        <v>4.13</v>
      </c>
      <c r="G17" s="52">
        <v>56</v>
      </c>
      <c r="H17" s="52">
        <f t="shared" si="0"/>
        <v>231.28</v>
      </c>
      <c r="I17" s="61">
        <v>50</v>
      </c>
      <c r="J17" s="259"/>
      <c r="K17" s="263"/>
    </row>
    <row r="18" spans="1:11" ht="24">
      <c r="A18" s="180">
        <f t="shared" si="1"/>
        <v>9</v>
      </c>
      <c r="B18" s="47" t="s">
        <v>126</v>
      </c>
      <c r="C18" s="48" t="s">
        <v>72</v>
      </c>
      <c r="D18" s="49" t="s">
        <v>124</v>
      </c>
      <c r="E18" s="50" t="s">
        <v>172</v>
      </c>
      <c r="F18" s="51">
        <f>19.8*10</f>
        <v>198</v>
      </c>
      <c r="G18" s="52">
        <v>16.9</v>
      </c>
      <c r="H18" s="52">
        <f t="shared" si="0"/>
        <v>3346.2</v>
      </c>
      <c r="I18" s="61">
        <v>15</v>
      </c>
      <c r="J18" s="259"/>
      <c r="K18" s="263"/>
    </row>
    <row r="19" spans="1:11" ht="12.75">
      <c r="A19" s="180">
        <f t="shared" si="1"/>
        <v>10</v>
      </c>
      <c r="B19" s="28" t="s">
        <v>34</v>
      </c>
      <c r="C19" s="2" t="s">
        <v>35</v>
      </c>
      <c r="D19" s="3" t="s">
        <v>36</v>
      </c>
      <c r="E19" s="4" t="s">
        <v>7</v>
      </c>
      <c r="F19" s="51">
        <f>85.7*6.5</f>
        <v>557.0500000000001</v>
      </c>
      <c r="G19" s="5">
        <v>5.6</v>
      </c>
      <c r="H19" s="5">
        <f t="shared" si="0"/>
        <v>3119.48</v>
      </c>
      <c r="I19" s="13">
        <v>5</v>
      </c>
      <c r="J19" s="20"/>
      <c r="K19" s="263"/>
    </row>
    <row r="20" spans="1:11" ht="24">
      <c r="A20" s="180">
        <f t="shared" si="1"/>
        <v>11</v>
      </c>
      <c r="B20" s="47" t="s">
        <v>273</v>
      </c>
      <c r="C20" s="48" t="s">
        <v>457</v>
      </c>
      <c r="D20" s="49"/>
      <c r="E20" s="50" t="s">
        <v>8</v>
      </c>
      <c r="F20" s="51">
        <f>0.16*6.5*11+0.14*8*6.15</f>
        <v>18.328000000000003</v>
      </c>
      <c r="G20" s="52">
        <v>185</v>
      </c>
      <c r="H20" s="52">
        <f aca="true" t="shared" si="2" ref="H20:H27">ROUND(G20*F20,2)</f>
        <v>3390.68</v>
      </c>
      <c r="I20" s="61"/>
      <c r="J20" s="259"/>
      <c r="K20" s="263"/>
    </row>
    <row r="21" spans="1:11" ht="24">
      <c r="A21" s="180">
        <f t="shared" si="1"/>
        <v>12</v>
      </c>
      <c r="B21" s="47" t="s">
        <v>274</v>
      </c>
      <c r="C21" s="48" t="s">
        <v>211</v>
      </c>
      <c r="D21" s="49"/>
      <c r="E21" s="50" t="s">
        <v>8</v>
      </c>
      <c r="F21" s="51">
        <f>0.0791*20.05*3+0.0931*(11.85*2+20.05)</f>
        <v>8.83099</v>
      </c>
      <c r="G21" s="52">
        <v>240</v>
      </c>
      <c r="H21" s="52">
        <f t="shared" si="2"/>
        <v>2119.44</v>
      </c>
      <c r="I21" s="61"/>
      <c r="J21" s="259"/>
      <c r="K21" s="263"/>
    </row>
    <row r="22" spans="1:11" ht="24">
      <c r="A22" s="180">
        <f t="shared" si="1"/>
        <v>13</v>
      </c>
      <c r="B22" s="47" t="s">
        <v>221</v>
      </c>
      <c r="C22" s="48" t="s">
        <v>220</v>
      </c>
      <c r="D22" s="49" t="s">
        <v>222</v>
      </c>
      <c r="E22" s="50" t="s">
        <v>7</v>
      </c>
      <c r="F22" s="51">
        <v>200</v>
      </c>
      <c r="G22" s="52">
        <v>53.6</v>
      </c>
      <c r="H22" s="52">
        <f t="shared" si="2"/>
        <v>10720</v>
      </c>
      <c r="I22" s="61"/>
      <c r="J22" s="259"/>
      <c r="K22" s="263"/>
    </row>
    <row r="23" spans="1:11" ht="12.75">
      <c r="A23" s="180">
        <f t="shared" si="1"/>
        <v>14</v>
      </c>
      <c r="B23" s="47" t="s">
        <v>212</v>
      </c>
      <c r="C23" s="48" t="s">
        <v>213</v>
      </c>
      <c r="D23" s="49" t="s">
        <v>214</v>
      </c>
      <c r="E23" s="50" t="s">
        <v>7</v>
      </c>
      <c r="F23" s="51">
        <f>0.4*0.4*6.5*11+0.45*4*8*6.15</f>
        <v>100</v>
      </c>
      <c r="G23" s="52">
        <v>22.5</v>
      </c>
      <c r="H23" s="52">
        <f t="shared" si="2"/>
        <v>2250</v>
      </c>
      <c r="I23" s="62"/>
      <c r="J23" s="260">
        <v>20</v>
      </c>
      <c r="K23" s="263"/>
    </row>
    <row r="24" spans="1:11" ht="12.75">
      <c r="A24" s="180">
        <f t="shared" si="1"/>
        <v>15</v>
      </c>
      <c r="B24" s="47" t="s">
        <v>164</v>
      </c>
      <c r="C24" s="48" t="s">
        <v>188</v>
      </c>
      <c r="D24" s="49" t="s">
        <v>165</v>
      </c>
      <c r="E24" s="50" t="s">
        <v>12</v>
      </c>
      <c r="F24" s="51">
        <f>4770.06+1324.82+1410.96+689.48</f>
        <v>8195.32</v>
      </c>
      <c r="G24" s="52">
        <v>1.06875</v>
      </c>
      <c r="H24" s="52">
        <f t="shared" si="2"/>
        <v>8758.75</v>
      </c>
      <c r="I24" s="61">
        <v>0.95</v>
      </c>
      <c r="J24" s="259"/>
      <c r="K24" s="263"/>
    </row>
    <row r="25" spans="1:11" ht="12.75">
      <c r="A25" s="180">
        <f t="shared" si="1"/>
        <v>16</v>
      </c>
      <c r="B25" s="28" t="s">
        <v>454</v>
      </c>
      <c r="C25" s="2" t="s">
        <v>455</v>
      </c>
      <c r="D25" s="3" t="s">
        <v>165</v>
      </c>
      <c r="E25" s="4" t="s">
        <v>12</v>
      </c>
      <c r="F25" s="51">
        <f>F22*2*3.12</f>
        <v>1248</v>
      </c>
      <c r="G25" s="5">
        <v>1.0125</v>
      </c>
      <c r="H25" s="52">
        <f t="shared" si="2"/>
        <v>1263.6</v>
      </c>
      <c r="I25" s="61"/>
      <c r="J25" s="259"/>
      <c r="K25" s="263"/>
    </row>
    <row r="26" spans="1:11" ht="12.75">
      <c r="A26" s="180">
        <f t="shared" si="1"/>
        <v>17</v>
      </c>
      <c r="B26" s="47" t="s">
        <v>19</v>
      </c>
      <c r="C26" s="48" t="s">
        <v>71</v>
      </c>
      <c r="D26" s="49" t="s">
        <v>18</v>
      </c>
      <c r="E26" s="50" t="s">
        <v>7</v>
      </c>
      <c r="F26" s="51">
        <v>100</v>
      </c>
      <c r="G26" s="52">
        <v>2.2</v>
      </c>
      <c r="H26" s="52">
        <f t="shared" si="2"/>
        <v>220</v>
      </c>
      <c r="I26" s="63">
        <v>2</v>
      </c>
      <c r="J26" s="259"/>
      <c r="K26" s="263"/>
    </row>
    <row r="27" spans="1:11" s="17" customFormat="1" ht="12.75">
      <c r="A27" s="180">
        <f t="shared" si="1"/>
        <v>18</v>
      </c>
      <c r="B27" s="47" t="s">
        <v>218</v>
      </c>
      <c r="C27" s="48" t="s">
        <v>219</v>
      </c>
      <c r="D27" s="49" t="s">
        <v>215</v>
      </c>
      <c r="E27" s="50" t="s">
        <v>205</v>
      </c>
      <c r="F27" s="51">
        <f>(3*20.05+11.85*2+20.05)*3/0.1</f>
        <v>3117.0000000000005</v>
      </c>
      <c r="G27" s="52">
        <v>5</v>
      </c>
      <c r="H27" s="52">
        <f t="shared" si="2"/>
        <v>15585</v>
      </c>
      <c r="I27" s="59">
        <v>5.1</v>
      </c>
      <c r="J27" s="261">
        <v>4.8</v>
      </c>
      <c r="K27" s="263"/>
    </row>
    <row r="28" spans="1:11" s="17" customFormat="1" ht="12.75">
      <c r="A28" s="180">
        <f t="shared" si="1"/>
        <v>19</v>
      </c>
      <c r="B28" s="47" t="s">
        <v>216</v>
      </c>
      <c r="C28" s="48" t="s">
        <v>217</v>
      </c>
      <c r="D28" s="49" t="s">
        <v>215</v>
      </c>
      <c r="E28" s="50" t="s">
        <v>205</v>
      </c>
      <c r="F28" s="51">
        <v>4828</v>
      </c>
      <c r="G28" s="52">
        <v>6.5</v>
      </c>
      <c r="H28" s="52">
        <f aca="true" t="shared" si="3" ref="H28:H33">ROUND(G28*F28,2)</f>
        <v>31382</v>
      </c>
      <c r="I28" s="59">
        <v>5.6</v>
      </c>
      <c r="J28" s="261">
        <v>5.3</v>
      </c>
      <c r="K28" s="263"/>
    </row>
    <row r="29" spans="1:11" ht="24">
      <c r="A29" s="180">
        <f t="shared" si="1"/>
        <v>20</v>
      </c>
      <c r="B29" s="64" t="s">
        <v>183</v>
      </c>
      <c r="C29" s="65" t="s">
        <v>456</v>
      </c>
      <c r="D29" s="66" t="s">
        <v>184</v>
      </c>
      <c r="E29" s="67" t="s">
        <v>7</v>
      </c>
      <c r="F29" s="51">
        <v>40</v>
      </c>
      <c r="G29" s="68">
        <v>28</v>
      </c>
      <c r="H29" s="68">
        <f t="shared" si="3"/>
        <v>1120</v>
      </c>
      <c r="I29" s="61">
        <v>25</v>
      </c>
      <c r="J29" s="259"/>
      <c r="K29" s="263"/>
    </row>
    <row r="30" spans="1:11" ht="12.75">
      <c r="A30" s="180">
        <f t="shared" si="1"/>
        <v>21</v>
      </c>
      <c r="B30" s="28" t="s">
        <v>43</v>
      </c>
      <c r="C30" s="2" t="s">
        <v>44</v>
      </c>
      <c r="D30" s="3" t="s">
        <v>45</v>
      </c>
      <c r="E30" s="4" t="s">
        <v>7</v>
      </c>
      <c r="F30" s="51">
        <f>200+100+178.54</f>
        <v>478.53999999999996</v>
      </c>
      <c r="G30" s="5">
        <v>11.2</v>
      </c>
      <c r="H30" s="5">
        <f t="shared" si="3"/>
        <v>5359.65</v>
      </c>
      <c r="I30" s="13">
        <v>10</v>
      </c>
      <c r="J30" s="20"/>
      <c r="K30" s="263"/>
    </row>
    <row r="31" spans="1:11" ht="12.75">
      <c r="A31" s="180">
        <f t="shared" si="1"/>
        <v>22</v>
      </c>
      <c r="B31" s="28" t="s">
        <v>111</v>
      </c>
      <c r="C31" s="2" t="s">
        <v>280</v>
      </c>
      <c r="D31" s="3" t="s">
        <v>112</v>
      </c>
      <c r="E31" s="4" t="s">
        <v>7</v>
      </c>
      <c r="F31" s="51">
        <f>F30</f>
        <v>478.53999999999996</v>
      </c>
      <c r="G31" s="5">
        <v>1.7</v>
      </c>
      <c r="H31" s="5">
        <f t="shared" si="3"/>
        <v>813.52</v>
      </c>
      <c r="I31" s="14">
        <v>1.5</v>
      </c>
      <c r="J31" s="20"/>
      <c r="K31" s="263"/>
    </row>
    <row r="32" spans="1:11" ht="12.75">
      <c r="A32" s="250">
        <f t="shared" si="1"/>
        <v>23</v>
      </c>
      <c r="B32" s="251" t="s">
        <v>114</v>
      </c>
      <c r="C32" s="252" t="s">
        <v>286</v>
      </c>
      <c r="D32" s="253" t="s">
        <v>113</v>
      </c>
      <c r="E32" s="254" t="s">
        <v>7</v>
      </c>
      <c r="F32" s="255">
        <f>F31</f>
        <v>478.53999999999996</v>
      </c>
      <c r="G32" s="256">
        <v>3.4</v>
      </c>
      <c r="H32" s="256">
        <f t="shared" si="3"/>
        <v>1627.04</v>
      </c>
      <c r="I32" s="14">
        <v>3</v>
      </c>
      <c r="J32" s="20"/>
      <c r="K32" s="263"/>
    </row>
    <row r="33" spans="1:11" ht="41.25" customHeight="1">
      <c r="A33" s="257">
        <f t="shared" si="1"/>
        <v>24</v>
      </c>
      <c r="B33" s="47" t="s">
        <v>137</v>
      </c>
      <c r="C33" s="48" t="s">
        <v>287</v>
      </c>
      <c r="D33" s="49" t="s">
        <v>136</v>
      </c>
      <c r="E33" s="50" t="s">
        <v>7</v>
      </c>
      <c r="F33" s="51">
        <f>F32</f>
        <v>478.53999999999996</v>
      </c>
      <c r="G33" s="52">
        <v>9</v>
      </c>
      <c r="H33" s="52">
        <f t="shared" si="3"/>
        <v>4306.86</v>
      </c>
      <c r="I33" s="13">
        <v>8.5</v>
      </c>
      <c r="J33" s="20"/>
      <c r="K33" s="263"/>
    </row>
    <row r="34" spans="1:11" ht="12.75" hidden="1">
      <c r="A34" s="119"/>
      <c r="B34" s="53"/>
      <c r="C34" s="54"/>
      <c r="D34" s="55"/>
      <c r="E34" s="56"/>
      <c r="F34" s="57"/>
      <c r="G34" s="58"/>
      <c r="H34" s="70"/>
      <c r="I34" s="18"/>
      <c r="J34" s="21"/>
      <c r="K34" s="264"/>
    </row>
    <row r="35" spans="1:11" ht="12.75" customHeight="1">
      <c r="A35" s="181"/>
      <c r="B35" s="24"/>
      <c r="C35" s="69" t="s">
        <v>256</v>
      </c>
      <c r="D35" s="24"/>
      <c r="E35" s="25"/>
      <c r="F35" s="29"/>
      <c r="G35" s="26"/>
      <c r="H35" s="27"/>
      <c r="I35" s="114"/>
      <c r="J35" s="115"/>
      <c r="K35" s="265">
        <f>K10</f>
        <v>96573.01</v>
      </c>
    </row>
    <row r="36" spans="1:11" ht="12.75">
      <c r="A36" s="181"/>
      <c r="B36" s="24"/>
      <c r="C36" s="69" t="s">
        <v>254</v>
      </c>
      <c r="D36" s="24"/>
      <c r="E36" s="25"/>
      <c r="F36" s="29"/>
      <c r="G36" s="26"/>
      <c r="H36" s="27"/>
      <c r="I36" s="114"/>
      <c r="J36" s="115"/>
      <c r="K36" s="265">
        <f>ROUND(K35*0.24,2)</f>
        <v>23177.52</v>
      </c>
    </row>
    <row r="37" spans="1:11" ht="18.75" customHeight="1" thickBot="1">
      <c r="A37" s="205"/>
      <c r="B37" s="242"/>
      <c r="C37" s="243" t="s">
        <v>257</v>
      </c>
      <c r="D37" s="242"/>
      <c r="E37" s="244"/>
      <c r="F37" s="245"/>
      <c r="G37" s="246"/>
      <c r="H37" s="247"/>
      <c r="I37" s="248"/>
      <c r="J37" s="249"/>
      <c r="K37" s="266">
        <f>K35+K36</f>
        <v>119750.53</v>
      </c>
    </row>
  </sheetData>
  <sheetProtection/>
  <mergeCells count="8">
    <mergeCell ref="K10:K33"/>
    <mergeCell ref="F1:K2"/>
    <mergeCell ref="A9:K9"/>
    <mergeCell ref="B1:C1"/>
    <mergeCell ref="B2:C2"/>
    <mergeCell ref="B3:C3"/>
    <mergeCell ref="B4:C4"/>
    <mergeCell ref="B5:C5"/>
  </mergeCells>
  <printOptions/>
  <pageMargins left="0.5118110236220472" right="0.11811023622047245" top="0.5905511811023623" bottom="0.5905511811023623" header="0.31496062992125984" footer="0.31496062992125984"/>
  <pageSetup horizontalDpi="300" verticalDpi="300" orientation="landscape" paperSize="9" scale="83" r:id="rId1"/>
  <headerFooter alignWithMargins="0">
    <oddFooter>&amp;CΣελίδα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view="pageBreakPreview" zoomScaleSheetLayoutView="100" zoomScalePageLayoutView="0" workbookViewId="0" topLeftCell="A1">
      <selection activeCell="C39" sqref="C39"/>
    </sheetView>
  </sheetViews>
  <sheetFormatPr defaultColWidth="9.140625" defaultRowHeight="12.75"/>
  <cols>
    <col min="1" max="1" width="9.140625" style="11" customWidth="1"/>
    <col min="2" max="2" width="16.8515625" style="6" customWidth="1"/>
    <col min="3" max="3" width="72.8515625" style="7" customWidth="1"/>
    <col min="4" max="4" width="12.00390625" style="1" customWidth="1"/>
    <col min="5" max="5" width="12.28125" style="8" customWidth="1"/>
    <col min="6" max="6" width="10.140625" style="72" customWidth="1"/>
    <col min="7" max="7" width="9.140625" style="9" customWidth="1"/>
    <col min="8" max="8" width="10.28125" style="9" bestFit="1" customWidth="1"/>
    <col min="9" max="9" width="9.57421875" style="10" hidden="1" customWidth="1"/>
    <col min="10" max="10" width="11.7109375" style="1" hidden="1" customWidth="1"/>
    <col min="11" max="11" width="14.421875" style="228" customWidth="1"/>
    <col min="12" max="12" width="10.140625" style="11" bestFit="1" customWidth="1"/>
    <col min="13" max="16384" width="9.140625" style="11" customWidth="1"/>
  </cols>
  <sheetData>
    <row r="1" spans="1:12" s="33" customFormat="1" ht="22.5" customHeight="1">
      <c r="A1" s="117"/>
      <c r="B1" s="193" t="s">
        <v>266</v>
      </c>
      <c r="C1" s="193"/>
      <c r="D1" s="199" t="s">
        <v>333</v>
      </c>
      <c r="E1" s="232"/>
      <c r="F1" s="232"/>
      <c r="G1" s="232"/>
      <c r="H1" s="232"/>
      <c r="I1" s="232"/>
      <c r="J1" s="232"/>
      <c r="K1" s="233"/>
      <c r="L1" s="42"/>
    </row>
    <row r="2" spans="1:12" s="33" customFormat="1" ht="24" customHeight="1">
      <c r="A2" s="118"/>
      <c r="B2" s="194" t="s">
        <v>270</v>
      </c>
      <c r="C2" s="194"/>
      <c r="D2" s="234"/>
      <c r="E2" s="235"/>
      <c r="F2" s="235"/>
      <c r="G2" s="235"/>
      <c r="H2" s="235"/>
      <c r="I2" s="235"/>
      <c r="J2" s="235"/>
      <c r="K2" s="236"/>
      <c r="L2" s="42"/>
    </row>
    <row r="3" spans="1:12" s="33" customFormat="1" ht="15.75">
      <c r="A3" s="118"/>
      <c r="B3" s="194" t="s">
        <v>267</v>
      </c>
      <c r="C3" s="194"/>
      <c r="D3" s="237"/>
      <c r="E3" s="231"/>
      <c r="F3" s="231"/>
      <c r="G3" s="238"/>
      <c r="H3" s="239"/>
      <c r="I3" s="240"/>
      <c r="J3" s="238"/>
      <c r="K3" s="241"/>
      <c r="L3" s="42"/>
    </row>
    <row r="4" spans="1:12" s="33" customFormat="1" ht="15" customHeight="1">
      <c r="A4" s="118"/>
      <c r="B4" s="194" t="s">
        <v>268</v>
      </c>
      <c r="C4" s="194"/>
      <c r="D4" s="229" t="s">
        <v>271</v>
      </c>
      <c r="E4" s="229"/>
      <c r="F4" s="229"/>
      <c r="G4" s="229"/>
      <c r="H4" s="229"/>
      <c r="I4" s="229"/>
      <c r="J4" s="229"/>
      <c r="K4" s="230"/>
      <c r="L4" s="42"/>
    </row>
    <row r="5" spans="1:12" s="33" customFormat="1" ht="12.75" customHeight="1">
      <c r="A5" s="118"/>
      <c r="B5" s="194" t="s">
        <v>269</v>
      </c>
      <c r="C5" s="194"/>
      <c r="D5" s="45"/>
      <c r="E5" s="43"/>
      <c r="F5" s="71"/>
      <c r="G5" s="73"/>
      <c r="H5" s="44"/>
      <c r="I5" s="42"/>
      <c r="J5" s="37"/>
      <c r="K5" s="210"/>
      <c r="L5" s="42"/>
    </row>
    <row r="6" spans="1:11" ht="12.75">
      <c r="A6" s="119"/>
      <c r="B6" s="115"/>
      <c r="C6" s="54"/>
      <c r="D6" s="55"/>
      <c r="E6" s="56"/>
      <c r="F6" s="120"/>
      <c r="G6" s="58"/>
      <c r="H6" s="58"/>
      <c r="I6" s="18"/>
      <c r="J6" s="55"/>
      <c r="K6" s="211"/>
    </row>
    <row r="7" spans="1:11" ht="13.5" thickBot="1">
      <c r="A7" s="122"/>
      <c r="B7" s="116"/>
      <c r="C7" s="123"/>
      <c r="D7" s="124"/>
      <c r="E7" s="125"/>
      <c r="F7" s="126"/>
      <c r="G7" s="127"/>
      <c r="H7" s="127"/>
      <c r="I7" s="128"/>
      <c r="J7" s="124"/>
      <c r="K7" s="212"/>
    </row>
    <row r="8" spans="1:11" ht="24.75" thickBot="1">
      <c r="A8" s="129"/>
      <c r="B8" s="130" t="s">
        <v>1</v>
      </c>
      <c r="C8" s="131" t="s">
        <v>60</v>
      </c>
      <c r="D8" s="131" t="s">
        <v>2</v>
      </c>
      <c r="E8" s="132" t="s">
        <v>3</v>
      </c>
      <c r="F8" s="133" t="s">
        <v>264</v>
      </c>
      <c r="G8" s="134" t="s">
        <v>61</v>
      </c>
      <c r="H8" s="135" t="s">
        <v>265</v>
      </c>
      <c r="I8" s="136" t="s">
        <v>61</v>
      </c>
      <c r="J8" s="136" t="s">
        <v>62</v>
      </c>
      <c r="K8" s="213"/>
    </row>
    <row r="9" spans="1:11" s="19" customFormat="1" ht="18.75" thickBot="1">
      <c r="A9" s="137"/>
      <c r="B9" s="138" t="s">
        <v>224</v>
      </c>
      <c r="C9" s="139"/>
      <c r="D9" s="139"/>
      <c r="E9" s="140"/>
      <c r="F9" s="141"/>
      <c r="G9" s="139"/>
      <c r="H9" s="139"/>
      <c r="I9" s="139"/>
      <c r="J9" s="139"/>
      <c r="K9" s="214"/>
    </row>
    <row r="10" spans="1:11" ht="12.75" customHeight="1">
      <c r="A10" s="110" t="s">
        <v>334</v>
      </c>
      <c r="B10" s="111" t="s">
        <v>24</v>
      </c>
      <c r="C10" s="142" t="s">
        <v>282</v>
      </c>
      <c r="D10" s="143" t="s">
        <v>25</v>
      </c>
      <c r="E10" s="144" t="s">
        <v>6</v>
      </c>
      <c r="F10" s="145">
        <f>400*5</f>
        <v>2000</v>
      </c>
      <c r="G10" s="146">
        <v>0.35</v>
      </c>
      <c r="H10" s="146">
        <f aca="true" t="shared" si="0" ref="H10:H18">ROUND(G10*F10,2)</f>
        <v>700</v>
      </c>
      <c r="I10" s="147">
        <v>0.3</v>
      </c>
      <c r="J10" s="148"/>
      <c r="K10" s="215">
        <f>SUM(H10:H90)</f>
        <v>298675.23</v>
      </c>
    </row>
    <row r="11" spans="1:11" ht="12.75">
      <c r="A11" s="113" t="s">
        <v>335</v>
      </c>
      <c r="B11" s="47" t="s">
        <v>27</v>
      </c>
      <c r="C11" s="48" t="s">
        <v>288</v>
      </c>
      <c r="D11" s="49" t="s">
        <v>26</v>
      </c>
      <c r="E11" s="50" t="s">
        <v>7</v>
      </c>
      <c r="F11" s="75">
        <v>100</v>
      </c>
      <c r="G11" s="52">
        <v>4.5</v>
      </c>
      <c r="H11" s="52">
        <f t="shared" si="0"/>
        <v>450</v>
      </c>
      <c r="I11" s="61">
        <v>4</v>
      </c>
      <c r="J11" s="60"/>
      <c r="K11" s="216"/>
    </row>
    <row r="12" spans="1:11" ht="12.75">
      <c r="A12" s="113" t="s">
        <v>336</v>
      </c>
      <c r="B12" s="47" t="s">
        <v>170</v>
      </c>
      <c r="C12" s="48" t="s">
        <v>283</v>
      </c>
      <c r="D12" s="49" t="s">
        <v>171</v>
      </c>
      <c r="E12" s="50" t="s">
        <v>8</v>
      </c>
      <c r="F12" s="75">
        <v>50</v>
      </c>
      <c r="G12" s="52">
        <v>4.5</v>
      </c>
      <c r="H12" s="52">
        <f t="shared" si="0"/>
        <v>225</v>
      </c>
      <c r="I12" s="61">
        <v>4</v>
      </c>
      <c r="J12" s="60"/>
      <c r="K12" s="216"/>
    </row>
    <row r="13" spans="1:11" ht="12.75">
      <c r="A13" s="113" t="s">
        <v>337</v>
      </c>
      <c r="B13" s="47" t="s">
        <v>65</v>
      </c>
      <c r="C13" s="48" t="s">
        <v>66</v>
      </c>
      <c r="D13" s="49" t="s">
        <v>67</v>
      </c>
      <c r="E13" s="50" t="s">
        <v>5</v>
      </c>
      <c r="F13" s="75">
        <f>400*5</f>
        <v>2000</v>
      </c>
      <c r="G13" s="52">
        <v>2.2</v>
      </c>
      <c r="H13" s="52">
        <f t="shared" si="0"/>
        <v>4400</v>
      </c>
      <c r="I13" s="61">
        <v>2</v>
      </c>
      <c r="J13" s="60"/>
      <c r="K13" s="216"/>
    </row>
    <row r="14" spans="1:11" ht="12.75">
      <c r="A14" s="113" t="s">
        <v>338</v>
      </c>
      <c r="B14" s="47" t="s">
        <v>103</v>
      </c>
      <c r="C14" s="48" t="s">
        <v>104</v>
      </c>
      <c r="D14" s="49" t="s">
        <v>105</v>
      </c>
      <c r="E14" s="50" t="s">
        <v>8</v>
      </c>
      <c r="F14" s="75">
        <f>(15.5*2+3.7*2+4.05*4+1.95+1+2.75+2.6)*2.5</f>
        <v>157.25</v>
      </c>
      <c r="G14" s="52">
        <v>15.7</v>
      </c>
      <c r="H14" s="52">
        <f t="shared" si="0"/>
        <v>2468.83</v>
      </c>
      <c r="I14" s="61">
        <v>14</v>
      </c>
      <c r="J14" s="60"/>
      <c r="K14" s="216"/>
    </row>
    <row r="15" spans="1:11" s="12" customFormat="1" ht="24">
      <c r="A15" s="113" t="s">
        <v>339</v>
      </c>
      <c r="B15" s="47" t="s">
        <v>127</v>
      </c>
      <c r="C15" s="48" t="s">
        <v>289</v>
      </c>
      <c r="D15" s="49" t="s">
        <v>128</v>
      </c>
      <c r="E15" s="50" t="s">
        <v>7</v>
      </c>
      <c r="F15" s="75">
        <v>1200</v>
      </c>
      <c r="G15" s="52">
        <v>7.9</v>
      </c>
      <c r="H15" s="52">
        <f t="shared" si="0"/>
        <v>9480</v>
      </c>
      <c r="I15" s="61">
        <v>7</v>
      </c>
      <c r="J15" s="60"/>
      <c r="K15" s="216"/>
    </row>
    <row r="16" spans="1:11" s="12" customFormat="1" ht="24">
      <c r="A16" s="113" t="s">
        <v>340</v>
      </c>
      <c r="B16" s="47" t="s">
        <v>129</v>
      </c>
      <c r="C16" s="48" t="s">
        <v>290</v>
      </c>
      <c r="D16" s="49" t="s">
        <v>130</v>
      </c>
      <c r="E16" s="50" t="s">
        <v>7</v>
      </c>
      <c r="F16" s="75">
        <f>ROUND((1.8+2.05)*2*2*6+1.7*2+(0.95*2+1.7*2)*2*2+(1*2+1.75*2)*2*2+((2*2+2.5*2)*2+4*(1.35*2+0.95*2)*2),2)</f>
        <v>193.8</v>
      </c>
      <c r="G16" s="52">
        <v>4.5</v>
      </c>
      <c r="H16" s="52">
        <f t="shared" si="0"/>
        <v>872.1</v>
      </c>
      <c r="I16" s="61">
        <v>4</v>
      </c>
      <c r="J16" s="60"/>
      <c r="K16" s="216"/>
    </row>
    <row r="17" spans="1:11" s="12" customFormat="1" ht="12.75">
      <c r="A17" s="113" t="s">
        <v>341</v>
      </c>
      <c r="B17" s="47" t="s">
        <v>131</v>
      </c>
      <c r="C17" s="48" t="s">
        <v>132</v>
      </c>
      <c r="D17" s="49" t="s">
        <v>133</v>
      </c>
      <c r="E17" s="50" t="s">
        <v>7</v>
      </c>
      <c r="F17" s="75">
        <f>ROUND((182+(7.9+23.75)*3+35.5*2.5),2)</f>
        <v>365.7</v>
      </c>
      <c r="G17" s="52">
        <v>5.6</v>
      </c>
      <c r="H17" s="52">
        <f t="shared" si="0"/>
        <v>2047.92</v>
      </c>
      <c r="I17" s="61">
        <v>5</v>
      </c>
      <c r="J17" s="60"/>
      <c r="K17" s="216"/>
    </row>
    <row r="18" spans="1:11" s="15" customFormat="1" ht="24">
      <c r="A18" s="113" t="s">
        <v>342</v>
      </c>
      <c r="B18" s="47" t="s">
        <v>134</v>
      </c>
      <c r="C18" s="48" t="s">
        <v>291</v>
      </c>
      <c r="D18" s="49" t="s">
        <v>135</v>
      </c>
      <c r="E18" s="50" t="s">
        <v>10</v>
      </c>
      <c r="F18" s="75">
        <v>10</v>
      </c>
      <c r="G18" s="52">
        <v>16.7</v>
      </c>
      <c r="H18" s="52">
        <f t="shared" si="0"/>
        <v>167</v>
      </c>
      <c r="I18" s="76">
        <v>15</v>
      </c>
      <c r="J18" s="77"/>
      <c r="K18" s="216"/>
    </row>
    <row r="19" spans="1:11" ht="12.75">
      <c r="A19" s="113" t="s">
        <v>343</v>
      </c>
      <c r="B19" s="47" t="s">
        <v>78</v>
      </c>
      <c r="C19" s="48" t="s">
        <v>292</v>
      </c>
      <c r="D19" s="49" t="s">
        <v>79</v>
      </c>
      <c r="E19" s="50" t="s">
        <v>10</v>
      </c>
      <c r="F19" s="75">
        <v>2</v>
      </c>
      <c r="G19" s="52">
        <v>28</v>
      </c>
      <c r="H19" s="52">
        <f aca="true" t="shared" si="1" ref="H19:H24">ROUND(G19*F19,2)</f>
        <v>56</v>
      </c>
      <c r="I19" s="61">
        <v>25</v>
      </c>
      <c r="J19" s="60"/>
      <c r="K19" s="216"/>
    </row>
    <row r="20" spans="1:11" ht="12.75">
      <c r="A20" s="113" t="s">
        <v>344</v>
      </c>
      <c r="B20" s="47" t="s">
        <v>80</v>
      </c>
      <c r="C20" s="48" t="s">
        <v>81</v>
      </c>
      <c r="D20" s="49" t="s">
        <v>82</v>
      </c>
      <c r="E20" s="50" t="s">
        <v>7</v>
      </c>
      <c r="F20" s="75">
        <v>60</v>
      </c>
      <c r="G20" s="52">
        <v>16.8</v>
      </c>
      <c r="H20" s="52">
        <f t="shared" si="1"/>
        <v>1008</v>
      </c>
      <c r="I20" s="61">
        <v>15</v>
      </c>
      <c r="J20" s="60"/>
      <c r="K20" s="216"/>
    </row>
    <row r="21" spans="1:11" ht="12.75">
      <c r="A21" s="113" t="s">
        <v>345</v>
      </c>
      <c r="B21" s="47" t="s">
        <v>83</v>
      </c>
      <c r="C21" s="48" t="s">
        <v>84</v>
      </c>
      <c r="D21" s="49" t="s">
        <v>133</v>
      </c>
      <c r="E21" s="50" t="s">
        <v>7</v>
      </c>
      <c r="F21" s="75">
        <f>300+190+93.41+15.3*6+25.8+35-200-178</f>
        <v>358.01</v>
      </c>
      <c r="G21" s="52">
        <v>9</v>
      </c>
      <c r="H21" s="52">
        <f t="shared" si="1"/>
        <v>3222.09</v>
      </c>
      <c r="I21" s="63">
        <v>8</v>
      </c>
      <c r="J21" s="60"/>
      <c r="K21" s="216"/>
    </row>
    <row r="22" spans="1:11" ht="12.75">
      <c r="A22" s="113" t="s">
        <v>346</v>
      </c>
      <c r="B22" s="47" t="s">
        <v>86</v>
      </c>
      <c r="C22" s="48" t="s">
        <v>87</v>
      </c>
      <c r="D22" s="49" t="s">
        <v>85</v>
      </c>
      <c r="E22" s="50" t="s">
        <v>12</v>
      </c>
      <c r="F22" s="75">
        <v>2000</v>
      </c>
      <c r="G22" s="52">
        <v>0.35</v>
      </c>
      <c r="H22" s="52">
        <f t="shared" si="1"/>
        <v>700</v>
      </c>
      <c r="I22" s="61">
        <v>0.3</v>
      </c>
      <c r="J22" s="60"/>
      <c r="K22" s="216"/>
    </row>
    <row r="23" spans="1:11" ht="12.75">
      <c r="A23" s="113" t="s">
        <v>347</v>
      </c>
      <c r="B23" s="47" t="s">
        <v>88</v>
      </c>
      <c r="C23" s="48" t="s">
        <v>293</v>
      </c>
      <c r="D23" s="49" t="s">
        <v>82</v>
      </c>
      <c r="E23" s="50" t="s">
        <v>12</v>
      </c>
      <c r="F23" s="75">
        <v>500</v>
      </c>
      <c r="G23" s="52">
        <v>0.35</v>
      </c>
      <c r="H23" s="52">
        <f t="shared" si="1"/>
        <v>175</v>
      </c>
      <c r="I23" s="61">
        <v>0.3</v>
      </c>
      <c r="J23" s="60"/>
      <c r="K23" s="216"/>
    </row>
    <row r="24" spans="1:11" ht="24">
      <c r="A24" s="113" t="s">
        <v>348</v>
      </c>
      <c r="B24" s="47" t="s">
        <v>115</v>
      </c>
      <c r="C24" s="48" t="s">
        <v>294</v>
      </c>
      <c r="D24" s="49" t="s">
        <v>116</v>
      </c>
      <c r="E24" s="50" t="s">
        <v>8</v>
      </c>
      <c r="F24" s="75">
        <v>12</v>
      </c>
      <c r="G24" s="52">
        <v>90</v>
      </c>
      <c r="H24" s="52">
        <f t="shared" si="1"/>
        <v>1080</v>
      </c>
      <c r="I24" s="61">
        <v>80</v>
      </c>
      <c r="J24" s="60"/>
      <c r="K24" s="216"/>
    </row>
    <row r="25" spans="1:11" ht="36">
      <c r="A25" s="113" t="s">
        <v>349</v>
      </c>
      <c r="B25" s="47" t="s">
        <v>50</v>
      </c>
      <c r="C25" s="48" t="s">
        <v>295</v>
      </c>
      <c r="D25" s="49" t="s">
        <v>51</v>
      </c>
      <c r="E25" s="50" t="s">
        <v>8</v>
      </c>
      <c r="F25" s="75">
        <v>12</v>
      </c>
      <c r="G25" s="52">
        <v>16.8</v>
      </c>
      <c r="H25" s="52">
        <f aca="true" t="shared" si="2" ref="H25:H32">ROUND(G25*F25,2)</f>
        <v>201.6</v>
      </c>
      <c r="I25" s="61">
        <v>15</v>
      </c>
      <c r="J25" s="60"/>
      <c r="K25" s="216"/>
    </row>
    <row r="26" spans="1:11" ht="12.75">
      <c r="A26" s="113" t="s">
        <v>350</v>
      </c>
      <c r="B26" s="47" t="s">
        <v>68</v>
      </c>
      <c r="C26" s="48" t="s">
        <v>69</v>
      </c>
      <c r="D26" s="49" t="s">
        <v>70</v>
      </c>
      <c r="E26" s="50" t="s">
        <v>8</v>
      </c>
      <c r="F26" s="75">
        <f>635*0.08</f>
        <v>50.800000000000004</v>
      </c>
      <c r="G26" s="52">
        <v>110</v>
      </c>
      <c r="H26" s="52">
        <f t="shared" si="2"/>
        <v>5588</v>
      </c>
      <c r="I26" s="61">
        <v>100</v>
      </c>
      <c r="J26" s="60"/>
      <c r="K26" s="216"/>
    </row>
    <row r="27" spans="1:11" ht="12.75">
      <c r="A27" s="113" t="s">
        <v>351</v>
      </c>
      <c r="B27" s="47" t="s">
        <v>212</v>
      </c>
      <c r="C27" s="48" t="s">
        <v>213</v>
      </c>
      <c r="D27" s="49" t="s">
        <v>214</v>
      </c>
      <c r="E27" s="50" t="s">
        <v>7</v>
      </c>
      <c r="F27" s="75">
        <v>40</v>
      </c>
      <c r="G27" s="52">
        <v>22.5</v>
      </c>
      <c r="H27" s="52">
        <f t="shared" si="2"/>
        <v>900</v>
      </c>
      <c r="I27" s="62"/>
      <c r="J27" s="63">
        <v>20</v>
      </c>
      <c r="K27" s="216"/>
    </row>
    <row r="28" spans="1:11" ht="24">
      <c r="A28" s="113" t="s">
        <v>352</v>
      </c>
      <c r="B28" s="47" t="s">
        <v>162</v>
      </c>
      <c r="C28" s="48" t="s">
        <v>296</v>
      </c>
      <c r="D28" s="49" t="s">
        <v>185</v>
      </c>
      <c r="E28" s="50" t="s">
        <v>7</v>
      </c>
      <c r="F28" s="75">
        <f>ROUND((3.5+1.9+3.6+7.4+6.1+4*2+1.8*2+2.6+4.15+3.5+3.85+1.9*2+3.45+2.1+2.3)*2.5,2)</f>
        <v>149.63</v>
      </c>
      <c r="G28" s="52">
        <v>22.5</v>
      </c>
      <c r="H28" s="52">
        <f t="shared" si="2"/>
        <v>3366.68</v>
      </c>
      <c r="I28" s="61">
        <v>20</v>
      </c>
      <c r="J28" s="60"/>
      <c r="K28" s="216"/>
    </row>
    <row r="29" spans="1:11" ht="24">
      <c r="A29" s="113" t="s">
        <v>353</v>
      </c>
      <c r="B29" s="47" t="s">
        <v>163</v>
      </c>
      <c r="C29" s="48" t="s">
        <v>297</v>
      </c>
      <c r="D29" s="49" t="s">
        <v>186</v>
      </c>
      <c r="E29" s="50" t="s">
        <v>7</v>
      </c>
      <c r="F29" s="75">
        <f>ROUND((3.95+1.85)*2.5,2)</f>
        <v>14.5</v>
      </c>
      <c r="G29" s="52">
        <v>33.5</v>
      </c>
      <c r="H29" s="52">
        <f t="shared" si="2"/>
        <v>485.75</v>
      </c>
      <c r="I29" s="61">
        <v>30</v>
      </c>
      <c r="J29" s="60"/>
      <c r="K29" s="216"/>
    </row>
    <row r="30" spans="1:11" ht="12.75">
      <c r="A30" s="113" t="s">
        <v>354</v>
      </c>
      <c r="B30" s="47" t="s">
        <v>109</v>
      </c>
      <c r="C30" s="48" t="s">
        <v>298</v>
      </c>
      <c r="D30" s="49" t="s">
        <v>110</v>
      </c>
      <c r="E30" s="50" t="s">
        <v>9</v>
      </c>
      <c r="F30" s="75">
        <f>2*6.5</f>
        <v>13</v>
      </c>
      <c r="G30" s="52">
        <v>39</v>
      </c>
      <c r="H30" s="52">
        <f t="shared" si="2"/>
        <v>507</v>
      </c>
      <c r="I30" s="61">
        <v>35</v>
      </c>
      <c r="J30" s="60"/>
      <c r="K30" s="216"/>
    </row>
    <row r="31" spans="1:11" ht="24">
      <c r="A31" s="113" t="s">
        <v>355</v>
      </c>
      <c r="B31" s="47" t="s">
        <v>160</v>
      </c>
      <c r="C31" s="48" t="s">
        <v>299</v>
      </c>
      <c r="D31" s="49" t="s">
        <v>159</v>
      </c>
      <c r="E31" s="50" t="s">
        <v>9</v>
      </c>
      <c r="F31" s="75">
        <f>3.5+1.9+3.6+7.4+6.1+4*2+1.8*2+2.6+4.15+3.5+3.85+1.9*2+3.45+2.1+2.3</f>
        <v>59.85</v>
      </c>
      <c r="G31" s="52">
        <v>16.8</v>
      </c>
      <c r="H31" s="52">
        <f t="shared" si="2"/>
        <v>1005.48</v>
      </c>
      <c r="I31" s="61">
        <v>15</v>
      </c>
      <c r="J31" s="60"/>
      <c r="K31" s="216"/>
    </row>
    <row r="32" spans="1:11" ht="24">
      <c r="A32" s="113" t="s">
        <v>356</v>
      </c>
      <c r="B32" s="47" t="s">
        <v>161</v>
      </c>
      <c r="C32" s="48" t="s">
        <v>300</v>
      </c>
      <c r="D32" s="49" t="s">
        <v>159</v>
      </c>
      <c r="E32" s="50" t="s">
        <v>9</v>
      </c>
      <c r="F32" s="75">
        <f>3.95+1.85</f>
        <v>5.800000000000001</v>
      </c>
      <c r="G32" s="52">
        <v>19.7</v>
      </c>
      <c r="H32" s="52">
        <f t="shared" si="2"/>
        <v>114.26</v>
      </c>
      <c r="I32" s="61">
        <v>17.5</v>
      </c>
      <c r="J32" s="60"/>
      <c r="K32" s="216"/>
    </row>
    <row r="33" spans="1:11" ht="12.75">
      <c r="A33" s="113" t="s">
        <v>357</v>
      </c>
      <c r="B33" s="47" t="s">
        <v>93</v>
      </c>
      <c r="C33" s="48" t="s">
        <v>301</v>
      </c>
      <c r="D33" s="49" t="s">
        <v>94</v>
      </c>
      <c r="E33" s="50" t="s">
        <v>7</v>
      </c>
      <c r="F33" s="75">
        <v>70.5</v>
      </c>
      <c r="G33" s="52">
        <v>118</v>
      </c>
      <c r="H33" s="52">
        <f aca="true" t="shared" si="3" ref="H33:H39">ROUND(G33*F33,2)</f>
        <v>8319</v>
      </c>
      <c r="I33" s="61">
        <v>105</v>
      </c>
      <c r="J33" s="78">
        <v>75</v>
      </c>
      <c r="K33" s="216"/>
    </row>
    <row r="34" spans="1:11" ht="12.75">
      <c r="A34" s="113" t="s">
        <v>358</v>
      </c>
      <c r="B34" s="47" t="s">
        <v>95</v>
      </c>
      <c r="C34" s="48" t="s">
        <v>302</v>
      </c>
      <c r="D34" s="49" t="s">
        <v>96</v>
      </c>
      <c r="E34" s="50" t="s">
        <v>7</v>
      </c>
      <c r="F34" s="75">
        <v>10</v>
      </c>
      <c r="G34" s="52">
        <v>123</v>
      </c>
      <c r="H34" s="52">
        <f t="shared" si="3"/>
        <v>1230</v>
      </c>
      <c r="I34" s="61">
        <v>110</v>
      </c>
      <c r="J34" s="78">
        <v>75</v>
      </c>
      <c r="K34" s="216"/>
    </row>
    <row r="35" spans="1:11" ht="12.75">
      <c r="A35" s="113" t="s">
        <v>359</v>
      </c>
      <c r="B35" s="47" t="s">
        <v>117</v>
      </c>
      <c r="C35" s="48" t="s">
        <v>118</v>
      </c>
      <c r="D35" s="49" t="s">
        <v>119</v>
      </c>
      <c r="E35" s="50" t="s">
        <v>7</v>
      </c>
      <c r="F35" s="75">
        <f>2.4*2</f>
        <v>4.8</v>
      </c>
      <c r="G35" s="52">
        <v>135</v>
      </c>
      <c r="H35" s="52">
        <f t="shared" si="3"/>
        <v>648</v>
      </c>
      <c r="I35" s="61">
        <v>120</v>
      </c>
      <c r="J35" s="78">
        <v>90</v>
      </c>
      <c r="K35" s="216"/>
    </row>
    <row r="36" spans="1:11" ht="12.75">
      <c r="A36" s="113" t="s">
        <v>360</v>
      </c>
      <c r="B36" s="47" t="s">
        <v>121</v>
      </c>
      <c r="C36" s="48" t="s">
        <v>122</v>
      </c>
      <c r="D36" s="49" t="s">
        <v>120</v>
      </c>
      <c r="E36" s="50" t="s">
        <v>7</v>
      </c>
      <c r="F36" s="75">
        <f>(2.05*2+1.8*4)*3+2.55*2*2.5+1*2.5</f>
        <v>49.150000000000006</v>
      </c>
      <c r="G36" s="52">
        <v>118</v>
      </c>
      <c r="H36" s="52">
        <f t="shared" si="3"/>
        <v>5799.7</v>
      </c>
      <c r="I36" s="61">
        <v>100</v>
      </c>
      <c r="J36" s="78">
        <v>70</v>
      </c>
      <c r="K36" s="216"/>
    </row>
    <row r="37" spans="1:11" ht="12.75">
      <c r="A37" s="113" t="s">
        <v>361</v>
      </c>
      <c r="B37" s="47" t="s">
        <v>178</v>
      </c>
      <c r="C37" s="48" t="s">
        <v>303</v>
      </c>
      <c r="D37" s="49" t="s">
        <v>94</v>
      </c>
      <c r="E37" s="50" t="s">
        <v>9</v>
      </c>
      <c r="F37" s="75">
        <v>206</v>
      </c>
      <c r="G37" s="52">
        <v>11</v>
      </c>
      <c r="H37" s="52">
        <f t="shared" si="3"/>
        <v>2266</v>
      </c>
      <c r="I37" s="61">
        <v>10</v>
      </c>
      <c r="J37" s="59"/>
      <c r="K37" s="216"/>
    </row>
    <row r="38" spans="1:11" ht="12.75">
      <c r="A38" s="113" t="s">
        <v>362</v>
      </c>
      <c r="B38" s="47" t="s">
        <v>179</v>
      </c>
      <c r="C38" s="48" t="s">
        <v>304</v>
      </c>
      <c r="D38" s="49" t="s">
        <v>94</v>
      </c>
      <c r="E38" s="50" t="s">
        <v>9</v>
      </c>
      <c r="F38" s="75">
        <v>5</v>
      </c>
      <c r="G38" s="52">
        <v>16.8</v>
      </c>
      <c r="H38" s="52">
        <f t="shared" si="3"/>
        <v>84</v>
      </c>
      <c r="I38" s="61">
        <v>15</v>
      </c>
      <c r="J38" s="59"/>
      <c r="K38" s="216"/>
    </row>
    <row r="39" spans="1:11" ht="12.75">
      <c r="A39" s="113" t="s">
        <v>363</v>
      </c>
      <c r="B39" s="47" t="s">
        <v>173</v>
      </c>
      <c r="C39" s="48" t="s">
        <v>305</v>
      </c>
      <c r="D39" s="49" t="s">
        <v>174</v>
      </c>
      <c r="E39" s="50" t="s">
        <v>9</v>
      </c>
      <c r="F39" s="75">
        <v>7.9</v>
      </c>
      <c r="G39" s="52">
        <v>45</v>
      </c>
      <c r="H39" s="52">
        <f t="shared" si="3"/>
        <v>355.5</v>
      </c>
      <c r="I39" s="61">
        <v>40</v>
      </c>
      <c r="J39" s="78">
        <v>15</v>
      </c>
      <c r="K39" s="216"/>
    </row>
    <row r="40" spans="1:11" ht="12.75">
      <c r="A40" s="113" t="s">
        <v>364</v>
      </c>
      <c r="B40" s="47" t="s">
        <v>32</v>
      </c>
      <c r="C40" s="48" t="s">
        <v>306</v>
      </c>
      <c r="D40" s="49" t="s">
        <v>31</v>
      </c>
      <c r="E40" s="50" t="s">
        <v>7</v>
      </c>
      <c r="F40" s="75">
        <f>F36</f>
        <v>49.150000000000006</v>
      </c>
      <c r="G40" s="52">
        <v>45</v>
      </c>
      <c r="H40" s="52">
        <f>ROUND(G40*F40,2)</f>
        <v>2211.75</v>
      </c>
      <c r="I40" s="79">
        <v>40</v>
      </c>
      <c r="J40" s="60"/>
      <c r="K40" s="216"/>
    </row>
    <row r="41" spans="1:11" ht="12.75">
      <c r="A41" s="113" t="s">
        <v>365</v>
      </c>
      <c r="B41" s="47" t="s">
        <v>33</v>
      </c>
      <c r="C41" s="48" t="s">
        <v>187</v>
      </c>
      <c r="D41" s="49" t="s">
        <v>49</v>
      </c>
      <c r="E41" s="50" t="s">
        <v>10</v>
      </c>
      <c r="F41" s="75">
        <f>F36</f>
        <v>49.150000000000006</v>
      </c>
      <c r="G41" s="52">
        <v>39</v>
      </c>
      <c r="H41" s="52">
        <f>ROUND(G41*F41,2)</f>
        <v>1916.85</v>
      </c>
      <c r="I41" s="61">
        <v>35</v>
      </c>
      <c r="J41" s="60"/>
      <c r="K41" s="216"/>
    </row>
    <row r="42" spans="1:11" ht="12.75">
      <c r="A42" s="113" t="s">
        <v>366</v>
      </c>
      <c r="B42" s="47" t="s">
        <v>182</v>
      </c>
      <c r="C42" s="48" t="s">
        <v>73</v>
      </c>
      <c r="D42" s="49" t="s">
        <v>181</v>
      </c>
      <c r="E42" s="50" t="s">
        <v>12</v>
      </c>
      <c r="F42" s="75">
        <v>2000</v>
      </c>
      <c r="G42" s="52">
        <v>2.7</v>
      </c>
      <c r="H42" s="52">
        <f>ROUND(G42*F42,2)</f>
        <v>5400</v>
      </c>
      <c r="I42" s="61">
        <v>2.4</v>
      </c>
      <c r="J42" s="60"/>
      <c r="K42" s="216"/>
    </row>
    <row r="43" spans="1:11" ht="12.75">
      <c r="A43" s="113" t="s">
        <v>367</v>
      </c>
      <c r="B43" s="47" t="s">
        <v>261</v>
      </c>
      <c r="C43" s="48" t="s">
        <v>262</v>
      </c>
      <c r="D43" s="49" t="s">
        <v>263</v>
      </c>
      <c r="E43" s="50" t="s">
        <v>12</v>
      </c>
      <c r="F43" s="75">
        <v>1000</v>
      </c>
      <c r="G43" s="52">
        <v>4.5</v>
      </c>
      <c r="H43" s="52">
        <f>ROUND(G43*F43,2)</f>
        <v>4500</v>
      </c>
      <c r="I43" s="61"/>
      <c r="J43" s="60"/>
      <c r="K43" s="216"/>
    </row>
    <row r="44" spans="1:11" ht="24">
      <c r="A44" s="113" t="s">
        <v>368</v>
      </c>
      <c r="B44" s="47" t="s">
        <v>29</v>
      </c>
      <c r="C44" s="48" t="s">
        <v>30</v>
      </c>
      <c r="D44" s="49" t="s">
        <v>28</v>
      </c>
      <c r="E44" s="50" t="s">
        <v>7</v>
      </c>
      <c r="F44" s="75">
        <v>2.2</v>
      </c>
      <c r="G44" s="52">
        <v>335</v>
      </c>
      <c r="H44" s="52">
        <f aca="true" t="shared" si="4" ref="H44:H49">ROUND(G44*F44,2)</f>
        <v>737</v>
      </c>
      <c r="I44" s="61">
        <v>300</v>
      </c>
      <c r="J44" s="60"/>
      <c r="K44" s="216"/>
    </row>
    <row r="45" spans="1:11" ht="24">
      <c r="A45" s="113" t="s">
        <v>369</v>
      </c>
      <c r="B45" s="47" t="s">
        <v>175</v>
      </c>
      <c r="C45" s="48" t="s">
        <v>169</v>
      </c>
      <c r="D45" s="49" t="s">
        <v>28</v>
      </c>
      <c r="E45" s="50" t="s">
        <v>7</v>
      </c>
      <c r="F45" s="75">
        <f>ROUND(1.3*2.05,2)</f>
        <v>2.67</v>
      </c>
      <c r="G45" s="52">
        <v>420</v>
      </c>
      <c r="H45" s="52">
        <f t="shared" si="4"/>
        <v>1121.4</v>
      </c>
      <c r="I45" s="61">
        <v>375</v>
      </c>
      <c r="J45" s="60"/>
      <c r="K45" s="216"/>
    </row>
    <row r="46" spans="1:11" ht="12.75" customHeight="1">
      <c r="A46" s="113" t="s">
        <v>370</v>
      </c>
      <c r="B46" s="47" t="s">
        <v>139</v>
      </c>
      <c r="C46" s="48" t="s">
        <v>307</v>
      </c>
      <c r="D46" s="49" t="s">
        <v>140</v>
      </c>
      <c r="E46" s="50" t="s">
        <v>11</v>
      </c>
      <c r="F46" s="75">
        <f>F48</f>
        <v>73.75</v>
      </c>
      <c r="G46" s="52">
        <v>7.3</v>
      </c>
      <c r="H46" s="52">
        <f t="shared" si="4"/>
        <v>538.38</v>
      </c>
      <c r="I46" s="59">
        <v>6.5</v>
      </c>
      <c r="J46" s="60"/>
      <c r="K46" s="216"/>
    </row>
    <row r="47" spans="1:11" ht="12.75" customHeight="1">
      <c r="A47" s="113" t="s">
        <v>371</v>
      </c>
      <c r="B47" s="47" t="s">
        <v>141</v>
      </c>
      <c r="C47" s="48" t="s">
        <v>308</v>
      </c>
      <c r="D47" s="49" t="s">
        <v>142</v>
      </c>
      <c r="E47" s="50" t="s">
        <v>11</v>
      </c>
      <c r="F47" s="75">
        <f>19+30</f>
        <v>49</v>
      </c>
      <c r="G47" s="52">
        <v>10.1</v>
      </c>
      <c r="H47" s="52">
        <f t="shared" si="4"/>
        <v>494.9</v>
      </c>
      <c r="I47" s="59">
        <v>9</v>
      </c>
      <c r="J47" s="60"/>
      <c r="K47" s="216"/>
    </row>
    <row r="48" spans="1:11" ht="12.75" customHeight="1">
      <c r="A48" s="113" t="s">
        <v>372</v>
      </c>
      <c r="B48" s="47" t="s">
        <v>143</v>
      </c>
      <c r="C48" s="48" t="s">
        <v>309</v>
      </c>
      <c r="D48" s="49" t="s">
        <v>144</v>
      </c>
      <c r="E48" s="50" t="s">
        <v>11</v>
      </c>
      <c r="F48" s="75">
        <f>24.65+1.8*2+10.5+35</f>
        <v>73.75</v>
      </c>
      <c r="G48" s="52">
        <v>12.3</v>
      </c>
      <c r="H48" s="52">
        <f t="shared" si="4"/>
        <v>907.13</v>
      </c>
      <c r="I48" s="59">
        <v>11</v>
      </c>
      <c r="J48" s="60"/>
      <c r="K48" s="216"/>
    </row>
    <row r="49" spans="1:11" ht="12.75" customHeight="1">
      <c r="A49" s="113" t="s">
        <v>373</v>
      </c>
      <c r="B49" s="47" t="s">
        <v>145</v>
      </c>
      <c r="C49" s="48" t="s">
        <v>146</v>
      </c>
      <c r="D49" s="49" t="s">
        <v>144</v>
      </c>
      <c r="E49" s="50" t="s">
        <v>9</v>
      </c>
      <c r="F49" s="75">
        <f>8.7+(3.15+2)*2</f>
        <v>19</v>
      </c>
      <c r="G49" s="52">
        <v>20</v>
      </c>
      <c r="H49" s="52">
        <f t="shared" si="4"/>
        <v>380</v>
      </c>
      <c r="I49" s="59">
        <v>18</v>
      </c>
      <c r="J49" s="60"/>
      <c r="K49" s="216"/>
    </row>
    <row r="50" spans="1:11" s="16" customFormat="1" ht="30.75" customHeight="1">
      <c r="A50" s="113" t="s">
        <v>374</v>
      </c>
      <c r="B50" s="47" t="s">
        <v>190</v>
      </c>
      <c r="C50" s="48" t="s">
        <v>189</v>
      </c>
      <c r="D50" s="49" t="s">
        <v>0</v>
      </c>
      <c r="E50" s="50" t="s">
        <v>7</v>
      </c>
      <c r="F50" s="75">
        <f>ROUND(1.7*2.2*4+1.75*2.2*2+3.05*1.2+3.1*1.2+3.6*1.2+1.85*1.2+0.7*1.2+0.7*1.2+3.75*1.2+3.75*1.2+3.4*2.1+3.4*2.1+3.15*2.1+3.7*2.1+3.7*1.85+3.75*0.8*3+1*0.6+0.7*0.6*3+3.05*1.8+1.15*1.6+0.85*1.6+1.1*2.75+0.6*0.6*6,2)</f>
        <v>107.51</v>
      </c>
      <c r="G50" s="52">
        <v>220</v>
      </c>
      <c r="H50" s="52">
        <f>ROUND(G50*F50,2)</f>
        <v>23652.2</v>
      </c>
      <c r="I50" s="80">
        <v>190</v>
      </c>
      <c r="J50" s="81"/>
      <c r="K50" s="216"/>
    </row>
    <row r="51" spans="1:12" ht="24">
      <c r="A51" s="113" t="s">
        <v>375</v>
      </c>
      <c r="B51" s="47" t="s">
        <v>194</v>
      </c>
      <c r="C51" s="48" t="s">
        <v>193</v>
      </c>
      <c r="D51" s="49" t="s">
        <v>176</v>
      </c>
      <c r="E51" s="50" t="s">
        <v>7</v>
      </c>
      <c r="F51" s="75">
        <f>ROUND(3.35*3.1+3.4*3.1+3.75*3.1,2)</f>
        <v>32.55</v>
      </c>
      <c r="G51" s="52">
        <v>165</v>
      </c>
      <c r="H51" s="52">
        <f>ROUND(G51*F51,2)</f>
        <v>5370.75</v>
      </c>
      <c r="I51" s="60"/>
      <c r="J51" s="62"/>
      <c r="K51" s="216"/>
      <c r="L51" s="22"/>
    </row>
    <row r="52" spans="1:11" s="16" customFormat="1" ht="24">
      <c r="A52" s="113" t="s">
        <v>376</v>
      </c>
      <c r="B52" s="47" t="s">
        <v>192</v>
      </c>
      <c r="C52" s="48" t="s">
        <v>191</v>
      </c>
      <c r="D52" s="49" t="s">
        <v>0</v>
      </c>
      <c r="E52" s="50" t="s">
        <v>7</v>
      </c>
      <c r="F52" s="75">
        <f>(24.65+1.85*2)*2.6</f>
        <v>73.71</v>
      </c>
      <c r="G52" s="52">
        <v>160</v>
      </c>
      <c r="H52" s="52">
        <f>ROUND(G52*F52,2)</f>
        <v>11793.6</v>
      </c>
      <c r="I52" s="82">
        <v>120</v>
      </c>
      <c r="J52" s="81"/>
      <c r="K52" s="216"/>
    </row>
    <row r="53" spans="1:11" s="16" customFormat="1" ht="24">
      <c r="A53" s="113" t="s">
        <v>377</v>
      </c>
      <c r="B53" s="47" t="s">
        <v>177</v>
      </c>
      <c r="C53" s="48" t="s">
        <v>310</v>
      </c>
      <c r="D53" s="49" t="s">
        <v>37</v>
      </c>
      <c r="E53" s="50" t="s">
        <v>7</v>
      </c>
      <c r="F53" s="75">
        <f>1.7*2.2*4+1.75*2.2*2+3.05*1.2+3.1*1.2</f>
        <v>30.040000000000003</v>
      </c>
      <c r="G53" s="52">
        <v>120</v>
      </c>
      <c r="H53" s="52">
        <f aca="true" t="shared" si="5" ref="H53:H67">ROUND(G53*F53,2)</f>
        <v>3604.8</v>
      </c>
      <c r="I53" s="82">
        <v>110</v>
      </c>
      <c r="J53" s="81"/>
      <c r="K53" s="216"/>
    </row>
    <row r="54" spans="1:11" ht="24">
      <c r="A54" s="113" t="s">
        <v>378</v>
      </c>
      <c r="B54" s="47" t="s">
        <v>38</v>
      </c>
      <c r="C54" s="48" t="s">
        <v>311</v>
      </c>
      <c r="D54" s="49" t="s">
        <v>39</v>
      </c>
      <c r="E54" s="50" t="s">
        <v>7</v>
      </c>
      <c r="F54" s="75">
        <v>200</v>
      </c>
      <c r="G54" s="52">
        <v>10.1</v>
      </c>
      <c r="H54" s="52">
        <f t="shared" si="5"/>
        <v>2020</v>
      </c>
      <c r="I54" s="61">
        <v>9</v>
      </c>
      <c r="J54" s="60"/>
      <c r="K54" s="216"/>
    </row>
    <row r="55" spans="1:11" ht="12.75">
      <c r="A55" s="113" t="s">
        <v>379</v>
      </c>
      <c r="B55" s="47" t="s">
        <v>40</v>
      </c>
      <c r="C55" s="48" t="s">
        <v>41</v>
      </c>
      <c r="D55" s="49" t="s">
        <v>42</v>
      </c>
      <c r="E55" s="50" t="s">
        <v>7</v>
      </c>
      <c r="F55" s="75">
        <f>F17</f>
        <v>365.7</v>
      </c>
      <c r="G55" s="52">
        <v>14</v>
      </c>
      <c r="H55" s="52">
        <f t="shared" si="5"/>
        <v>5119.8</v>
      </c>
      <c r="I55" s="61">
        <v>12.5</v>
      </c>
      <c r="J55" s="60"/>
      <c r="K55" s="216"/>
    </row>
    <row r="56" spans="1:11" ht="12.75">
      <c r="A56" s="113" t="s">
        <v>380</v>
      </c>
      <c r="B56" s="47" t="s">
        <v>43</v>
      </c>
      <c r="C56" s="48" t="s">
        <v>44</v>
      </c>
      <c r="D56" s="49" t="s">
        <v>45</v>
      </c>
      <c r="E56" s="50" t="s">
        <v>7</v>
      </c>
      <c r="F56" s="75">
        <f>F21</f>
        <v>358.01</v>
      </c>
      <c r="G56" s="52">
        <v>11.2</v>
      </c>
      <c r="H56" s="52">
        <f t="shared" si="5"/>
        <v>4009.71</v>
      </c>
      <c r="I56" s="61">
        <v>10</v>
      </c>
      <c r="J56" s="60"/>
      <c r="K56" s="216"/>
    </row>
    <row r="57" spans="1:11" ht="12.75">
      <c r="A57" s="113" t="s">
        <v>381</v>
      </c>
      <c r="B57" s="47" t="s">
        <v>258</v>
      </c>
      <c r="C57" s="48" t="s">
        <v>259</v>
      </c>
      <c r="D57" s="49" t="s">
        <v>260</v>
      </c>
      <c r="E57" s="50" t="s">
        <v>7</v>
      </c>
      <c r="F57" s="75">
        <v>39</v>
      </c>
      <c r="G57" s="52">
        <v>15.2</v>
      </c>
      <c r="H57" s="52">
        <f t="shared" si="5"/>
        <v>592.8</v>
      </c>
      <c r="I57" s="61"/>
      <c r="J57" s="60"/>
      <c r="K57" s="216"/>
    </row>
    <row r="58" spans="1:11" ht="12.75">
      <c r="A58" s="113" t="s">
        <v>382</v>
      </c>
      <c r="B58" s="47" t="s">
        <v>148</v>
      </c>
      <c r="C58" s="48" t="s">
        <v>312</v>
      </c>
      <c r="D58" s="49" t="s">
        <v>147</v>
      </c>
      <c r="E58" s="50" t="s">
        <v>11</v>
      </c>
      <c r="F58" s="75">
        <v>25</v>
      </c>
      <c r="G58" s="52">
        <v>39</v>
      </c>
      <c r="H58" s="52">
        <f t="shared" si="5"/>
        <v>975</v>
      </c>
      <c r="I58" s="61">
        <v>35</v>
      </c>
      <c r="J58" s="60"/>
      <c r="K58" s="216"/>
    </row>
    <row r="59" spans="1:11" ht="12.75">
      <c r="A59" s="113" t="s">
        <v>383</v>
      </c>
      <c r="B59" s="47" t="s">
        <v>278</v>
      </c>
      <c r="C59" s="48" t="s">
        <v>195</v>
      </c>
      <c r="D59" s="49" t="s">
        <v>279</v>
      </c>
      <c r="E59" s="50" t="s">
        <v>7</v>
      </c>
      <c r="F59" s="75">
        <v>130</v>
      </c>
      <c r="G59" s="52">
        <v>20</v>
      </c>
      <c r="H59" s="52">
        <f t="shared" si="5"/>
        <v>2600</v>
      </c>
      <c r="I59" s="61"/>
      <c r="J59" s="60"/>
      <c r="K59" s="216"/>
    </row>
    <row r="60" spans="1:11" ht="13.5">
      <c r="A60" s="113" t="s">
        <v>384</v>
      </c>
      <c r="B60" s="47" t="s">
        <v>458</v>
      </c>
      <c r="C60" s="173" t="s">
        <v>459</v>
      </c>
      <c r="D60" s="174" t="s">
        <v>210</v>
      </c>
      <c r="E60" s="174" t="s">
        <v>460</v>
      </c>
      <c r="F60" s="11">
        <f>4.2*1.2</f>
        <v>5.04</v>
      </c>
      <c r="G60" s="175">
        <v>13.8</v>
      </c>
      <c r="H60" s="52">
        <f t="shared" si="5"/>
        <v>69.55</v>
      </c>
      <c r="I60" s="61"/>
      <c r="J60" s="60"/>
      <c r="K60" s="216"/>
    </row>
    <row r="61" spans="1:11" ht="24">
      <c r="A61" s="113" t="s">
        <v>385</v>
      </c>
      <c r="B61" s="47" t="s">
        <v>151</v>
      </c>
      <c r="C61" s="48" t="s">
        <v>313</v>
      </c>
      <c r="D61" s="49" t="s">
        <v>150</v>
      </c>
      <c r="E61" s="50" t="s">
        <v>7</v>
      </c>
      <c r="F61" s="75">
        <v>235</v>
      </c>
      <c r="G61" s="52">
        <v>33.5</v>
      </c>
      <c r="H61" s="52">
        <f t="shared" si="5"/>
        <v>7872.5</v>
      </c>
      <c r="I61" s="61">
        <v>30</v>
      </c>
      <c r="J61" s="78">
        <v>12</v>
      </c>
      <c r="K61" s="216"/>
    </row>
    <row r="62" spans="1:11" ht="24">
      <c r="A62" s="113" t="s">
        <v>386</v>
      </c>
      <c r="B62" s="47" t="s">
        <v>152</v>
      </c>
      <c r="C62" s="48" t="s">
        <v>314</v>
      </c>
      <c r="D62" s="49" t="s">
        <v>150</v>
      </c>
      <c r="E62" s="50" t="s">
        <v>7</v>
      </c>
      <c r="F62" s="75">
        <f>235+215+235+60</f>
        <v>745</v>
      </c>
      <c r="G62" s="52">
        <v>36</v>
      </c>
      <c r="H62" s="52">
        <f t="shared" si="5"/>
        <v>26820</v>
      </c>
      <c r="I62" s="61">
        <v>32</v>
      </c>
      <c r="J62" s="78">
        <v>10</v>
      </c>
      <c r="K62" s="216"/>
    </row>
    <row r="63" spans="1:11" ht="24">
      <c r="A63" s="113" t="s">
        <v>387</v>
      </c>
      <c r="B63" s="47" t="s">
        <v>13</v>
      </c>
      <c r="C63" s="48" t="s">
        <v>315</v>
      </c>
      <c r="D63" s="49" t="s">
        <v>149</v>
      </c>
      <c r="E63" s="50" t="s">
        <v>7</v>
      </c>
      <c r="F63" s="75">
        <v>571.12</v>
      </c>
      <c r="G63" s="52">
        <v>36</v>
      </c>
      <c r="H63" s="52">
        <f t="shared" si="5"/>
        <v>20560.32</v>
      </c>
      <c r="I63" s="61">
        <v>32</v>
      </c>
      <c r="J63" s="78">
        <v>12</v>
      </c>
      <c r="K63" s="216"/>
    </row>
    <row r="64" spans="1:11" ht="12.75">
      <c r="A64" s="113" t="s">
        <v>388</v>
      </c>
      <c r="B64" s="47" t="s">
        <v>14</v>
      </c>
      <c r="C64" s="48" t="s">
        <v>75</v>
      </c>
      <c r="D64" s="49" t="s">
        <v>149</v>
      </c>
      <c r="E64" s="50" t="s">
        <v>11</v>
      </c>
      <c r="F64" s="75">
        <f>15.5+15.8*4+15.5+36+15.2*2+100+70+72+30+12</f>
        <v>444.6</v>
      </c>
      <c r="G64" s="52">
        <v>4.5</v>
      </c>
      <c r="H64" s="52">
        <f t="shared" si="5"/>
        <v>2000.7</v>
      </c>
      <c r="I64" s="61">
        <v>4</v>
      </c>
      <c r="J64" s="60"/>
      <c r="K64" s="216"/>
    </row>
    <row r="65" spans="1:11" ht="24">
      <c r="A65" s="113" t="s">
        <v>389</v>
      </c>
      <c r="B65" s="47" t="s">
        <v>52</v>
      </c>
      <c r="C65" s="48" t="s">
        <v>316</v>
      </c>
      <c r="D65" s="49" t="s">
        <v>53</v>
      </c>
      <c r="E65" s="50" t="s">
        <v>7</v>
      </c>
      <c r="F65" s="75">
        <f>F62+F61</f>
        <v>980</v>
      </c>
      <c r="G65" s="52">
        <v>14.6</v>
      </c>
      <c r="H65" s="52">
        <f t="shared" si="5"/>
        <v>14308</v>
      </c>
      <c r="I65" s="61">
        <v>13</v>
      </c>
      <c r="J65" s="60"/>
      <c r="K65" s="216"/>
    </row>
    <row r="66" spans="1:11" ht="12.75">
      <c r="A66" s="113" t="s">
        <v>390</v>
      </c>
      <c r="B66" s="47" t="s">
        <v>54</v>
      </c>
      <c r="C66" s="48" t="s">
        <v>55</v>
      </c>
      <c r="D66" s="49" t="s">
        <v>56</v>
      </c>
      <c r="E66" s="50" t="s">
        <v>11</v>
      </c>
      <c r="F66" s="75">
        <v>200</v>
      </c>
      <c r="G66" s="52">
        <v>9</v>
      </c>
      <c r="H66" s="52">
        <f t="shared" si="5"/>
        <v>1800</v>
      </c>
      <c r="I66" s="61">
        <v>8</v>
      </c>
      <c r="J66" s="60"/>
      <c r="K66" s="216"/>
    </row>
    <row r="67" spans="1:11" ht="12.75">
      <c r="A67" s="113" t="s">
        <v>391</v>
      </c>
      <c r="B67" s="47" t="s">
        <v>57</v>
      </c>
      <c r="C67" s="48" t="s">
        <v>58</v>
      </c>
      <c r="D67" s="49" t="s">
        <v>59</v>
      </c>
      <c r="E67" s="50" t="s">
        <v>11</v>
      </c>
      <c r="F67" s="75">
        <v>55</v>
      </c>
      <c r="G67" s="52">
        <v>5.6</v>
      </c>
      <c r="H67" s="52">
        <f t="shared" si="5"/>
        <v>308</v>
      </c>
      <c r="I67" s="61">
        <v>5</v>
      </c>
      <c r="J67" s="60"/>
      <c r="K67" s="216"/>
    </row>
    <row r="68" spans="1:11" ht="36">
      <c r="A68" s="113" t="s">
        <v>392</v>
      </c>
      <c r="B68" s="47" t="s">
        <v>47</v>
      </c>
      <c r="C68" s="48" t="s">
        <v>317</v>
      </c>
      <c r="D68" s="49" t="s">
        <v>48</v>
      </c>
      <c r="E68" s="50" t="s">
        <v>7</v>
      </c>
      <c r="F68" s="75">
        <f>60+18</f>
        <v>78</v>
      </c>
      <c r="G68" s="52">
        <v>96</v>
      </c>
      <c r="H68" s="52">
        <f aca="true" t="shared" si="6" ref="H68:H73">ROUND(G68*F68,2)</f>
        <v>7488</v>
      </c>
      <c r="I68" s="61">
        <v>86</v>
      </c>
      <c r="J68" s="78">
        <v>30</v>
      </c>
      <c r="K68" s="216"/>
    </row>
    <row r="69" spans="1:11" ht="24">
      <c r="A69" s="113" t="s">
        <v>393</v>
      </c>
      <c r="B69" s="47" t="s">
        <v>91</v>
      </c>
      <c r="C69" s="48" t="s">
        <v>318</v>
      </c>
      <c r="D69" s="49" t="s">
        <v>92</v>
      </c>
      <c r="E69" s="50" t="s">
        <v>11</v>
      </c>
      <c r="F69" s="75">
        <f>12+30</f>
        <v>42</v>
      </c>
      <c r="G69" s="52">
        <v>10.1</v>
      </c>
      <c r="H69" s="52">
        <f t="shared" si="6"/>
        <v>424.2</v>
      </c>
      <c r="I69" s="61">
        <v>9</v>
      </c>
      <c r="J69" s="78">
        <v>6</v>
      </c>
      <c r="K69" s="216"/>
    </row>
    <row r="70" spans="1:11" ht="24">
      <c r="A70" s="113" t="s">
        <v>394</v>
      </c>
      <c r="B70" s="47" t="s">
        <v>153</v>
      </c>
      <c r="C70" s="48" t="s">
        <v>319</v>
      </c>
      <c r="D70" s="49" t="s">
        <v>154</v>
      </c>
      <c r="E70" s="50" t="s">
        <v>7</v>
      </c>
      <c r="F70" s="75">
        <v>10</v>
      </c>
      <c r="G70" s="52">
        <v>73</v>
      </c>
      <c r="H70" s="52">
        <f t="shared" si="6"/>
        <v>730</v>
      </c>
      <c r="I70" s="61">
        <v>65</v>
      </c>
      <c r="J70" s="78">
        <v>30</v>
      </c>
      <c r="K70" s="216"/>
    </row>
    <row r="71" spans="1:11" ht="24">
      <c r="A71" s="113" t="s">
        <v>395</v>
      </c>
      <c r="B71" s="47" t="s">
        <v>155</v>
      </c>
      <c r="C71" s="48" t="s">
        <v>320</v>
      </c>
      <c r="D71" s="49" t="s">
        <v>156</v>
      </c>
      <c r="E71" s="50" t="s">
        <v>7</v>
      </c>
      <c r="F71" s="75">
        <v>26</v>
      </c>
      <c r="G71" s="52">
        <v>95</v>
      </c>
      <c r="H71" s="52">
        <f t="shared" si="6"/>
        <v>2470</v>
      </c>
      <c r="I71" s="61">
        <v>85</v>
      </c>
      <c r="J71" s="78">
        <v>30</v>
      </c>
      <c r="K71" s="216"/>
    </row>
    <row r="72" spans="1:11" ht="12.75">
      <c r="A72" s="113" t="s">
        <v>396</v>
      </c>
      <c r="B72" s="47" t="s">
        <v>157</v>
      </c>
      <c r="C72" s="48" t="s">
        <v>321</v>
      </c>
      <c r="D72" s="49" t="s">
        <v>158</v>
      </c>
      <c r="E72" s="50" t="s">
        <v>11</v>
      </c>
      <c r="F72" s="75">
        <f>1.75*2+1.7*4+3.4*2+3.7+3.15+3.75</f>
        <v>27.7</v>
      </c>
      <c r="G72" s="52">
        <v>39</v>
      </c>
      <c r="H72" s="52">
        <f t="shared" si="6"/>
        <v>1080.3</v>
      </c>
      <c r="I72" s="61">
        <v>35</v>
      </c>
      <c r="J72" s="78">
        <v>20</v>
      </c>
      <c r="K72" s="216"/>
    </row>
    <row r="73" spans="1:11" ht="24">
      <c r="A73" s="113" t="s">
        <v>397</v>
      </c>
      <c r="B73" s="47" t="s">
        <v>20</v>
      </c>
      <c r="C73" s="48" t="s">
        <v>322</v>
      </c>
      <c r="D73" s="49" t="s">
        <v>21</v>
      </c>
      <c r="E73" s="50" t="s">
        <v>11</v>
      </c>
      <c r="F73" s="75">
        <v>55</v>
      </c>
      <c r="G73" s="52">
        <v>45</v>
      </c>
      <c r="H73" s="52">
        <f t="shared" si="6"/>
        <v>2475</v>
      </c>
      <c r="I73" s="61">
        <v>40</v>
      </c>
      <c r="J73" s="78">
        <v>25</v>
      </c>
      <c r="K73" s="216"/>
    </row>
    <row r="74" spans="1:11" ht="24">
      <c r="A74" s="113" t="s">
        <v>398</v>
      </c>
      <c r="B74" s="47" t="s">
        <v>108</v>
      </c>
      <c r="C74" s="48" t="s">
        <v>323</v>
      </c>
      <c r="D74" s="49" t="s">
        <v>77</v>
      </c>
      <c r="E74" s="50" t="s">
        <v>7</v>
      </c>
      <c r="F74" s="75">
        <f>F50+F51+F52</f>
        <v>213.76999999999998</v>
      </c>
      <c r="G74" s="52">
        <v>54</v>
      </c>
      <c r="H74" s="52">
        <f aca="true" t="shared" si="7" ref="H74:H83">ROUND(G74*F74,2)</f>
        <v>11543.58</v>
      </c>
      <c r="I74" s="61">
        <v>48</v>
      </c>
      <c r="J74" s="60"/>
      <c r="K74" s="216"/>
    </row>
    <row r="75" spans="1:11" ht="12.75">
      <c r="A75" s="113" t="s">
        <v>399</v>
      </c>
      <c r="B75" s="47" t="s">
        <v>111</v>
      </c>
      <c r="C75" s="48" t="s">
        <v>280</v>
      </c>
      <c r="D75" s="49" t="s">
        <v>112</v>
      </c>
      <c r="E75" s="50" t="s">
        <v>7</v>
      </c>
      <c r="F75" s="75">
        <f>444*3-475.85</f>
        <v>856.15</v>
      </c>
      <c r="G75" s="52">
        <v>1.7</v>
      </c>
      <c r="H75" s="52">
        <f t="shared" si="7"/>
        <v>1455.46</v>
      </c>
      <c r="I75" s="59">
        <v>1.5</v>
      </c>
      <c r="J75" s="60"/>
      <c r="K75" s="216"/>
    </row>
    <row r="76" spans="1:11" ht="12.75">
      <c r="A76" s="113" t="s">
        <v>400</v>
      </c>
      <c r="B76" s="47" t="s">
        <v>114</v>
      </c>
      <c r="C76" s="48" t="s">
        <v>286</v>
      </c>
      <c r="D76" s="49" t="s">
        <v>113</v>
      </c>
      <c r="E76" s="50" t="s">
        <v>7</v>
      </c>
      <c r="F76" s="75">
        <f>F75</f>
        <v>856.15</v>
      </c>
      <c r="G76" s="52">
        <v>3.4</v>
      </c>
      <c r="H76" s="52">
        <f t="shared" si="7"/>
        <v>2910.91</v>
      </c>
      <c r="I76" s="59">
        <v>3</v>
      </c>
      <c r="J76" s="60"/>
      <c r="K76" s="216"/>
    </row>
    <row r="77" spans="1:11" ht="12.75">
      <c r="A77" s="113" t="s">
        <v>401</v>
      </c>
      <c r="B77" s="47" t="s">
        <v>89</v>
      </c>
      <c r="C77" s="48" t="s">
        <v>324</v>
      </c>
      <c r="D77" s="49" t="s">
        <v>90</v>
      </c>
      <c r="E77" s="50" t="s">
        <v>11</v>
      </c>
      <c r="F77" s="75">
        <f>F46+F47+F48+F49</f>
        <v>215.5</v>
      </c>
      <c r="G77" s="52">
        <v>2.25</v>
      </c>
      <c r="H77" s="52">
        <f t="shared" si="7"/>
        <v>484.88</v>
      </c>
      <c r="I77" s="59">
        <v>2</v>
      </c>
      <c r="J77" s="60"/>
      <c r="K77" s="216"/>
    </row>
    <row r="78" spans="1:11" ht="36">
      <c r="A78" s="113" t="s">
        <v>402</v>
      </c>
      <c r="B78" s="47" t="s">
        <v>137</v>
      </c>
      <c r="C78" s="48" t="s">
        <v>287</v>
      </c>
      <c r="D78" s="49" t="s">
        <v>136</v>
      </c>
      <c r="E78" s="50" t="s">
        <v>7</v>
      </c>
      <c r="F78" s="75">
        <f>F75</f>
        <v>856.15</v>
      </c>
      <c r="G78" s="52">
        <v>9</v>
      </c>
      <c r="H78" s="52">
        <f t="shared" si="7"/>
        <v>7705.35</v>
      </c>
      <c r="I78" s="61">
        <v>8.5</v>
      </c>
      <c r="J78" s="60"/>
      <c r="K78" s="216"/>
    </row>
    <row r="79" spans="1:11" ht="39.75" customHeight="1">
      <c r="A79" s="113" t="s">
        <v>403</v>
      </c>
      <c r="B79" s="47" t="s">
        <v>138</v>
      </c>
      <c r="C79" s="48" t="s">
        <v>325</v>
      </c>
      <c r="D79" s="49" t="s">
        <v>136</v>
      </c>
      <c r="E79" s="50" t="s">
        <v>7</v>
      </c>
      <c r="F79" s="75">
        <v>600</v>
      </c>
      <c r="G79" s="52">
        <v>10.1</v>
      </c>
      <c r="H79" s="52">
        <f t="shared" si="7"/>
        <v>6060</v>
      </c>
      <c r="I79" s="61">
        <v>10</v>
      </c>
      <c r="J79" s="60"/>
      <c r="K79" s="216"/>
    </row>
    <row r="80" spans="1:11" ht="36">
      <c r="A80" s="113" t="s">
        <v>404</v>
      </c>
      <c r="B80" s="47" t="s">
        <v>180</v>
      </c>
      <c r="C80" s="48" t="s">
        <v>326</v>
      </c>
      <c r="D80" s="49" t="s">
        <v>46</v>
      </c>
      <c r="E80" s="50" t="s">
        <v>7</v>
      </c>
      <c r="F80" s="75">
        <v>400</v>
      </c>
      <c r="G80" s="52">
        <v>25.9</v>
      </c>
      <c r="H80" s="52">
        <f t="shared" si="7"/>
        <v>10360</v>
      </c>
      <c r="I80" s="61">
        <v>25</v>
      </c>
      <c r="J80" s="60"/>
      <c r="K80" s="216"/>
    </row>
    <row r="81" spans="1:11" ht="12.75">
      <c r="A81" s="113" t="s">
        <v>405</v>
      </c>
      <c r="B81" s="28" t="s">
        <v>461</v>
      </c>
      <c r="C81" s="176" t="s">
        <v>462</v>
      </c>
      <c r="D81" s="3" t="s">
        <v>168</v>
      </c>
      <c r="E81" s="4" t="s">
        <v>7</v>
      </c>
      <c r="F81" s="177">
        <f>F82</f>
        <v>630</v>
      </c>
      <c r="G81" s="5">
        <v>3.9</v>
      </c>
      <c r="H81" s="52">
        <f t="shared" si="7"/>
        <v>2457</v>
      </c>
      <c r="I81" s="61"/>
      <c r="J81" s="60"/>
      <c r="K81" s="216"/>
    </row>
    <row r="82" spans="1:12" ht="24">
      <c r="A82" s="113" t="s">
        <v>406</v>
      </c>
      <c r="B82" s="47" t="s">
        <v>167</v>
      </c>
      <c r="C82" s="48" t="s">
        <v>206</v>
      </c>
      <c r="D82" s="49" t="s">
        <v>166</v>
      </c>
      <c r="E82" s="50" t="s">
        <v>7</v>
      </c>
      <c r="F82" s="75">
        <v>630</v>
      </c>
      <c r="G82" s="52">
        <v>13.5</v>
      </c>
      <c r="H82" s="52">
        <f t="shared" si="7"/>
        <v>8505</v>
      </c>
      <c r="I82" s="52"/>
      <c r="J82" s="79"/>
      <c r="K82" s="216"/>
      <c r="L82" s="22"/>
    </row>
    <row r="83" spans="1:12" ht="12.75">
      <c r="A83" s="113" t="s">
        <v>407</v>
      </c>
      <c r="B83" s="47" t="s">
        <v>15</v>
      </c>
      <c r="C83" s="48" t="s">
        <v>207</v>
      </c>
      <c r="D83" s="49" t="s">
        <v>168</v>
      </c>
      <c r="E83" s="50" t="s">
        <v>7</v>
      </c>
      <c r="F83" s="75">
        <v>630</v>
      </c>
      <c r="G83" s="52">
        <v>0.75</v>
      </c>
      <c r="H83" s="52">
        <f t="shared" si="7"/>
        <v>472.5</v>
      </c>
      <c r="I83" s="52"/>
      <c r="J83" s="61">
        <v>12</v>
      </c>
      <c r="K83" s="216"/>
      <c r="L83" s="22"/>
    </row>
    <row r="84" spans="1:11" ht="24">
      <c r="A84" s="113" t="s">
        <v>408</v>
      </c>
      <c r="B84" s="47" t="s">
        <v>16</v>
      </c>
      <c r="C84" s="48" t="s">
        <v>107</v>
      </c>
      <c r="D84" s="49" t="s">
        <v>76</v>
      </c>
      <c r="E84" s="50" t="s">
        <v>7</v>
      </c>
      <c r="F84" s="75">
        <v>315</v>
      </c>
      <c r="G84" s="52">
        <v>14</v>
      </c>
      <c r="H84" s="52">
        <f aca="true" t="shared" si="8" ref="H84:H90">ROUND(G84*F84,2)</f>
        <v>4410</v>
      </c>
      <c r="I84" s="61">
        <v>12.5</v>
      </c>
      <c r="J84" s="59"/>
      <c r="K84" s="216"/>
    </row>
    <row r="85" spans="1:12" ht="15" customHeight="1">
      <c r="A85" s="113" t="s">
        <v>409</v>
      </c>
      <c r="B85" s="47" t="s">
        <v>17</v>
      </c>
      <c r="C85" s="48" t="s">
        <v>106</v>
      </c>
      <c r="D85" s="49" t="s">
        <v>76</v>
      </c>
      <c r="E85" s="50" t="s">
        <v>7</v>
      </c>
      <c r="F85" s="75">
        <v>1020</v>
      </c>
      <c r="G85" s="52">
        <v>13.5</v>
      </c>
      <c r="H85" s="52">
        <f t="shared" si="8"/>
        <v>13770</v>
      </c>
      <c r="I85" s="52"/>
      <c r="J85" s="63">
        <v>2.5</v>
      </c>
      <c r="K85" s="216"/>
      <c r="L85" s="22"/>
    </row>
    <row r="86" spans="1:12" ht="26.25" customHeight="1">
      <c r="A86" s="113" t="s">
        <v>410</v>
      </c>
      <c r="B86" s="47" t="s">
        <v>64</v>
      </c>
      <c r="C86" s="48" t="s">
        <v>74</v>
      </c>
      <c r="D86" s="49" t="s">
        <v>63</v>
      </c>
      <c r="E86" s="50" t="s">
        <v>7</v>
      </c>
      <c r="F86" s="75">
        <f>28*4.8-(2*1.44+4*2.52)</f>
        <v>121.44</v>
      </c>
      <c r="G86" s="52">
        <v>22.5</v>
      </c>
      <c r="H86" s="52">
        <f t="shared" si="8"/>
        <v>2732.4</v>
      </c>
      <c r="I86" s="52"/>
      <c r="J86" s="63">
        <v>12</v>
      </c>
      <c r="K86" s="216"/>
      <c r="L86" s="22"/>
    </row>
    <row r="87" spans="1:12" ht="12.75">
      <c r="A87" s="113" t="s">
        <v>411</v>
      </c>
      <c r="B87" s="47" t="s">
        <v>197</v>
      </c>
      <c r="C87" s="48" t="s">
        <v>196</v>
      </c>
      <c r="D87" s="49" t="s">
        <v>198</v>
      </c>
      <c r="E87" s="50" t="s">
        <v>10</v>
      </c>
      <c r="F87" s="75">
        <v>10</v>
      </c>
      <c r="G87" s="52">
        <v>82.81</v>
      </c>
      <c r="H87" s="52">
        <f t="shared" si="8"/>
        <v>828.1</v>
      </c>
      <c r="I87" s="74"/>
      <c r="J87" s="74"/>
      <c r="K87" s="216"/>
      <c r="L87" s="22"/>
    </row>
    <row r="88" spans="1:12" ht="12.75">
      <c r="A88" s="113" t="s">
        <v>412</v>
      </c>
      <c r="B88" s="47" t="s">
        <v>200</v>
      </c>
      <c r="C88" s="48" t="s">
        <v>199</v>
      </c>
      <c r="D88" s="49" t="s">
        <v>201</v>
      </c>
      <c r="E88" s="50" t="s">
        <v>9</v>
      </c>
      <c r="F88" s="75">
        <v>50</v>
      </c>
      <c r="G88" s="52">
        <v>10.35</v>
      </c>
      <c r="H88" s="52">
        <f t="shared" si="8"/>
        <v>517.5</v>
      </c>
      <c r="I88" s="52"/>
      <c r="J88" s="79"/>
      <c r="K88" s="216"/>
      <c r="L88" s="22"/>
    </row>
    <row r="89" spans="1:12" ht="12.75">
      <c r="A89" s="113" t="s">
        <v>413</v>
      </c>
      <c r="B89" s="47" t="s">
        <v>203</v>
      </c>
      <c r="C89" s="48" t="s">
        <v>202</v>
      </c>
      <c r="D89" s="49" t="s">
        <v>204</v>
      </c>
      <c r="E89" s="50" t="s">
        <v>205</v>
      </c>
      <c r="F89" s="75">
        <v>6</v>
      </c>
      <c r="G89" s="52">
        <v>12</v>
      </c>
      <c r="H89" s="52">
        <f t="shared" si="8"/>
        <v>72</v>
      </c>
      <c r="I89" s="52"/>
      <c r="J89" s="79"/>
      <c r="K89" s="216"/>
      <c r="L89" s="22"/>
    </row>
    <row r="90" spans="1:11" s="17" customFormat="1" ht="13.5" thickBot="1">
      <c r="A90" s="113" t="s">
        <v>414</v>
      </c>
      <c r="B90" s="149" t="s">
        <v>208</v>
      </c>
      <c r="C90" s="150" t="s">
        <v>209</v>
      </c>
      <c r="D90" s="151" t="s">
        <v>210</v>
      </c>
      <c r="E90" s="152" t="s">
        <v>205</v>
      </c>
      <c r="F90" s="153">
        <v>1</v>
      </c>
      <c r="G90" s="154">
        <v>115</v>
      </c>
      <c r="H90" s="154">
        <f t="shared" si="8"/>
        <v>115</v>
      </c>
      <c r="I90" s="155">
        <v>100</v>
      </c>
      <c r="J90" s="155">
        <v>95</v>
      </c>
      <c r="K90" s="217"/>
    </row>
    <row r="91" spans="1:11" s="19" customFormat="1" ht="18.75" thickBot="1">
      <c r="A91" s="137"/>
      <c r="B91" s="138" t="s">
        <v>223</v>
      </c>
      <c r="C91" s="156"/>
      <c r="D91" s="156"/>
      <c r="E91" s="157"/>
      <c r="F91" s="158"/>
      <c r="G91" s="156"/>
      <c r="H91" s="156"/>
      <c r="I91" s="156"/>
      <c r="J91" s="156"/>
      <c r="K91" s="218"/>
    </row>
    <row r="92" spans="1:11" s="19" customFormat="1" ht="12.75">
      <c r="A92" s="159" t="s">
        <v>415</v>
      </c>
      <c r="B92" s="160"/>
      <c r="C92" s="161" t="s">
        <v>225</v>
      </c>
      <c r="D92" s="162"/>
      <c r="E92" s="144" t="s">
        <v>226</v>
      </c>
      <c r="F92" s="145">
        <v>1</v>
      </c>
      <c r="G92" s="146">
        <v>800</v>
      </c>
      <c r="H92" s="163">
        <f aca="true" t="shared" si="9" ref="H92:H120">ROUND(G92*F92,2)</f>
        <v>800</v>
      </c>
      <c r="I92" s="164"/>
      <c r="J92" s="165"/>
      <c r="K92" s="219">
        <f>SUM(H92:H120)</f>
        <v>120022.12</v>
      </c>
    </row>
    <row r="93" spans="1:11" s="19" customFormat="1" ht="24">
      <c r="A93" s="112" t="s">
        <v>416</v>
      </c>
      <c r="B93" s="83"/>
      <c r="C93" s="84" t="s">
        <v>232</v>
      </c>
      <c r="D93" s="85" t="s">
        <v>249</v>
      </c>
      <c r="E93" s="50" t="s">
        <v>234</v>
      </c>
      <c r="F93" s="75">
        <v>18</v>
      </c>
      <c r="G93" s="52">
        <v>60.22</v>
      </c>
      <c r="H93" s="86">
        <f t="shared" si="9"/>
        <v>1083.96</v>
      </c>
      <c r="I93" s="87"/>
      <c r="J93" s="88"/>
      <c r="K93" s="220"/>
    </row>
    <row r="94" spans="1:11" s="19" customFormat="1" ht="24">
      <c r="A94" s="112" t="s">
        <v>417</v>
      </c>
      <c r="B94" s="83"/>
      <c r="C94" s="84" t="s">
        <v>235</v>
      </c>
      <c r="D94" s="85" t="s">
        <v>233</v>
      </c>
      <c r="E94" s="50" t="s">
        <v>234</v>
      </c>
      <c r="F94" s="75">
        <v>6</v>
      </c>
      <c r="G94" s="52">
        <v>67</v>
      </c>
      <c r="H94" s="86">
        <f t="shared" si="9"/>
        <v>402</v>
      </c>
      <c r="I94" s="87"/>
      <c r="J94" s="88"/>
      <c r="K94" s="220"/>
    </row>
    <row r="95" spans="1:11" s="19" customFormat="1" ht="24">
      <c r="A95" s="112" t="s">
        <v>418</v>
      </c>
      <c r="B95" s="83"/>
      <c r="C95" s="84" t="s">
        <v>236</v>
      </c>
      <c r="D95" s="85" t="s">
        <v>237</v>
      </c>
      <c r="E95" s="50" t="s">
        <v>234</v>
      </c>
      <c r="F95" s="75">
        <v>19</v>
      </c>
      <c r="G95" s="52">
        <f>131.07+22.97</f>
        <v>154.04</v>
      </c>
      <c r="H95" s="86">
        <f t="shared" si="9"/>
        <v>2926.76</v>
      </c>
      <c r="I95" s="87"/>
      <c r="J95" s="88"/>
      <c r="K95" s="220"/>
    </row>
    <row r="96" spans="1:11" s="19" customFormat="1" ht="12.75">
      <c r="A96" s="112" t="s">
        <v>419</v>
      </c>
      <c r="B96" s="83"/>
      <c r="C96" s="84" t="s">
        <v>238</v>
      </c>
      <c r="D96" s="85" t="s">
        <v>237</v>
      </c>
      <c r="E96" s="50" t="s">
        <v>234</v>
      </c>
      <c r="F96" s="75">
        <v>18</v>
      </c>
      <c r="G96" s="52">
        <v>175</v>
      </c>
      <c r="H96" s="86">
        <f t="shared" si="9"/>
        <v>3150</v>
      </c>
      <c r="I96" s="87"/>
      <c r="J96" s="88"/>
      <c r="K96" s="220"/>
    </row>
    <row r="97" spans="1:11" s="19" customFormat="1" ht="24">
      <c r="A97" s="112" t="s">
        <v>420</v>
      </c>
      <c r="B97" s="83"/>
      <c r="C97" s="84" t="s">
        <v>441</v>
      </c>
      <c r="D97" s="85" t="s">
        <v>239</v>
      </c>
      <c r="E97" s="50" t="s">
        <v>234</v>
      </c>
      <c r="F97" s="75">
        <v>6</v>
      </c>
      <c r="G97" s="52">
        <v>300</v>
      </c>
      <c r="H97" s="86">
        <f t="shared" si="9"/>
        <v>1800</v>
      </c>
      <c r="I97" s="87"/>
      <c r="J97" s="88"/>
      <c r="K97" s="220"/>
    </row>
    <row r="98" spans="1:11" s="19" customFormat="1" ht="12.75">
      <c r="A98" s="112" t="s">
        <v>421</v>
      </c>
      <c r="B98" s="83"/>
      <c r="C98" s="84" t="s">
        <v>240</v>
      </c>
      <c r="D98" s="85" t="s">
        <v>241</v>
      </c>
      <c r="E98" s="50" t="s">
        <v>10</v>
      </c>
      <c r="F98" s="75">
        <v>18</v>
      </c>
      <c r="G98" s="52">
        <v>20</v>
      </c>
      <c r="H98" s="86">
        <f t="shared" si="9"/>
        <v>360</v>
      </c>
      <c r="I98" s="87"/>
      <c r="J98" s="88"/>
      <c r="K98" s="220"/>
    </row>
    <row r="99" spans="1:11" s="19" customFormat="1" ht="12.75">
      <c r="A99" s="112" t="s">
        <v>422</v>
      </c>
      <c r="B99" s="83"/>
      <c r="C99" s="84" t="s">
        <v>242</v>
      </c>
      <c r="D99" s="85" t="s">
        <v>237</v>
      </c>
      <c r="E99" s="50" t="s">
        <v>10</v>
      </c>
      <c r="F99" s="75">
        <v>18</v>
      </c>
      <c r="G99" s="52">
        <v>13</v>
      </c>
      <c r="H99" s="86">
        <f t="shared" si="9"/>
        <v>234</v>
      </c>
      <c r="I99" s="87"/>
      <c r="J99" s="88"/>
      <c r="K99" s="220"/>
    </row>
    <row r="100" spans="1:11" s="19" customFormat="1" ht="12.75">
      <c r="A100" s="112" t="s">
        <v>423</v>
      </c>
      <c r="B100" s="83"/>
      <c r="C100" s="84" t="s">
        <v>243</v>
      </c>
      <c r="D100" s="85" t="s">
        <v>233</v>
      </c>
      <c r="E100" s="50" t="s">
        <v>10</v>
      </c>
      <c r="F100" s="75">
        <v>19</v>
      </c>
      <c r="G100" s="52">
        <v>11</v>
      </c>
      <c r="H100" s="86">
        <f t="shared" si="9"/>
        <v>209</v>
      </c>
      <c r="I100" s="87"/>
      <c r="J100" s="88"/>
      <c r="K100" s="220"/>
    </row>
    <row r="101" spans="1:11" s="19" customFormat="1" ht="12.75">
      <c r="A101" s="112" t="s">
        <v>424</v>
      </c>
      <c r="B101" s="83"/>
      <c r="C101" s="84" t="s">
        <v>244</v>
      </c>
      <c r="D101" s="85" t="s">
        <v>237</v>
      </c>
      <c r="E101" s="50" t="s">
        <v>10</v>
      </c>
      <c r="F101" s="75">
        <v>19</v>
      </c>
      <c r="G101" s="52">
        <v>10</v>
      </c>
      <c r="H101" s="86">
        <f t="shared" si="9"/>
        <v>190</v>
      </c>
      <c r="I101" s="87"/>
      <c r="J101" s="88"/>
      <c r="K101" s="220"/>
    </row>
    <row r="102" spans="1:11" s="19" customFormat="1" ht="12.75">
      <c r="A102" s="112" t="s">
        <v>425</v>
      </c>
      <c r="B102" s="83"/>
      <c r="C102" s="84" t="s">
        <v>245</v>
      </c>
      <c r="D102" s="85" t="s">
        <v>237</v>
      </c>
      <c r="E102" s="50" t="s">
        <v>10</v>
      </c>
      <c r="F102" s="75">
        <v>19</v>
      </c>
      <c r="G102" s="52">
        <v>15</v>
      </c>
      <c r="H102" s="86">
        <f t="shared" si="9"/>
        <v>285</v>
      </c>
      <c r="I102" s="87"/>
      <c r="J102" s="88"/>
      <c r="K102" s="220"/>
    </row>
    <row r="103" spans="1:11" s="19" customFormat="1" ht="12.75">
      <c r="A103" s="112" t="s">
        <v>426</v>
      </c>
      <c r="B103" s="83"/>
      <c r="C103" s="84" t="s">
        <v>246</v>
      </c>
      <c r="D103" s="85" t="s">
        <v>237</v>
      </c>
      <c r="E103" s="50" t="s">
        <v>10</v>
      </c>
      <c r="F103" s="75">
        <v>19</v>
      </c>
      <c r="G103" s="52">
        <v>10</v>
      </c>
      <c r="H103" s="86">
        <f t="shared" si="9"/>
        <v>190</v>
      </c>
      <c r="I103" s="87"/>
      <c r="J103" s="88"/>
      <c r="K103" s="220"/>
    </row>
    <row r="104" spans="1:11" s="19" customFormat="1" ht="12.75">
      <c r="A104" s="112" t="s">
        <v>427</v>
      </c>
      <c r="B104" s="83"/>
      <c r="C104" s="84" t="s">
        <v>247</v>
      </c>
      <c r="D104" s="85" t="s">
        <v>237</v>
      </c>
      <c r="E104" s="50" t="s">
        <v>10</v>
      </c>
      <c r="F104" s="75">
        <v>20</v>
      </c>
      <c r="G104" s="52">
        <v>12</v>
      </c>
      <c r="H104" s="86">
        <f t="shared" si="9"/>
        <v>240</v>
      </c>
      <c r="I104" s="87"/>
      <c r="J104" s="88"/>
      <c r="K104" s="220"/>
    </row>
    <row r="105" spans="1:11" s="19" customFormat="1" ht="12.75">
      <c r="A105" s="112" t="s">
        <v>428</v>
      </c>
      <c r="B105" s="83"/>
      <c r="C105" s="84" t="s">
        <v>248</v>
      </c>
      <c r="D105" s="85" t="s">
        <v>249</v>
      </c>
      <c r="E105" s="50" t="s">
        <v>10</v>
      </c>
      <c r="F105" s="75">
        <v>1</v>
      </c>
      <c r="G105" s="52">
        <v>350</v>
      </c>
      <c r="H105" s="86">
        <f t="shared" si="9"/>
        <v>350</v>
      </c>
      <c r="I105" s="87"/>
      <c r="J105" s="88"/>
      <c r="K105" s="220"/>
    </row>
    <row r="106" spans="1:11" s="19" customFormat="1" ht="12.75">
      <c r="A106" s="112" t="s">
        <v>429</v>
      </c>
      <c r="B106" s="83"/>
      <c r="C106" s="84" t="s">
        <v>250</v>
      </c>
      <c r="D106" s="85" t="s">
        <v>249</v>
      </c>
      <c r="E106" s="50" t="s">
        <v>10</v>
      </c>
      <c r="F106" s="75">
        <v>1</v>
      </c>
      <c r="G106" s="52">
        <v>280</v>
      </c>
      <c r="H106" s="86">
        <f t="shared" si="9"/>
        <v>280</v>
      </c>
      <c r="I106" s="87"/>
      <c r="J106" s="88"/>
      <c r="K106" s="220"/>
    </row>
    <row r="107" spans="1:11" s="19" customFormat="1" ht="12.75">
      <c r="A107" s="112" t="s">
        <v>430</v>
      </c>
      <c r="B107" s="83"/>
      <c r="C107" s="84" t="s">
        <v>251</v>
      </c>
      <c r="D107" s="85" t="s">
        <v>249</v>
      </c>
      <c r="E107" s="50" t="s">
        <v>10</v>
      </c>
      <c r="F107" s="75">
        <v>1</v>
      </c>
      <c r="G107" s="52">
        <v>125</v>
      </c>
      <c r="H107" s="86">
        <f t="shared" si="9"/>
        <v>125</v>
      </c>
      <c r="I107" s="87"/>
      <c r="J107" s="88"/>
      <c r="K107" s="220"/>
    </row>
    <row r="108" spans="1:11" s="19" customFormat="1" ht="12.75">
      <c r="A108" s="112" t="s">
        <v>431</v>
      </c>
      <c r="B108" s="83"/>
      <c r="C108" s="84" t="s">
        <v>252</v>
      </c>
      <c r="D108" s="85" t="s">
        <v>249</v>
      </c>
      <c r="E108" s="50" t="s">
        <v>10</v>
      </c>
      <c r="F108" s="75">
        <v>1</v>
      </c>
      <c r="G108" s="52">
        <v>35</v>
      </c>
      <c r="H108" s="86">
        <f t="shared" si="9"/>
        <v>35</v>
      </c>
      <c r="I108" s="87"/>
      <c r="J108" s="88"/>
      <c r="K108" s="220"/>
    </row>
    <row r="109" spans="1:11" s="19" customFormat="1" ht="12.75">
      <c r="A109" s="112" t="s">
        <v>432</v>
      </c>
      <c r="B109" s="83"/>
      <c r="C109" s="84" t="s">
        <v>228</v>
      </c>
      <c r="D109" s="85"/>
      <c r="E109" s="50" t="s">
        <v>227</v>
      </c>
      <c r="F109" s="75">
        <v>18</v>
      </c>
      <c r="G109" s="52">
        <v>70</v>
      </c>
      <c r="H109" s="86">
        <f>ROUND(G109*F109,2)</f>
        <v>1260</v>
      </c>
      <c r="I109" s="87"/>
      <c r="J109" s="88"/>
      <c r="K109" s="220"/>
    </row>
    <row r="110" spans="1:11" s="19" customFormat="1" ht="12.75">
      <c r="A110" s="112" t="s">
        <v>433</v>
      </c>
      <c r="B110" s="83"/>
      <c r="C110" s="84" t="s">
        <v>442</v>
      </c>
      <c r="D110" s="85"/>
      <c r="E110" s="50" t="s">
        <v>227</v>
      </c>
      <c r="F110" s="75">
        <v>1</v>
      </c>
      <c r="G110" s="52">
        <v>8000</v>
      </c>
      <c r="H110" s="86">
        <f t="shared" si="9"/>
        <v>8000</v>
      </c>
      <c r="I110" s="87"/>
      <c r="J110" s="88"/>
      <c r="K110" s="220"/>
    </row>
    <row r="111" spans="1:11" s="19" customFormat="1" ht="12.75">
      <c r="A111" s="112" t="s">
        <v>434</v>
      </c>
      <c r="B111" s="83"/>
      <c r="C111" s="84" t="s">
        <v>328</v>
      </c>
      <c r="D111" s="85"/>
      <c r="E111" s="50" t="s">
        <v>227</v>
      </c>
      <c r="F111" s="75">
        <v>2</v>
      </c>
      <c r="G111" s="52">
        <v>200</v>
      </c>
      <c r="H111" s="86">
        <f t="shared" si="9"/>
        <v>400</v>
      </c>
      <c r="I111" s="87"/>
      <c r="J111" s="88"/>
      <c r="K111" s="220"/>
    </row>
    <row r="112" spans="1:11" s="17" customFormat="1" ht="12.75">
      <c r="A112" s="112" t="s">
        <v>435</v>
      </c>
      <c r="B112" s="83"/>
      <c r="C112" s="84" t="s">
        <v>229</v>
      </c>
      <c r="D112" s="85"/>
      <c r="E112" s="50" t="s">
        <v>227</v>
      </c>
      <c r="F112" s="75">
        <v>1</v>
      </c>
      <c r="G112" s="52">
        <v>250</v>
      </c>
      <c r="H112" s="86">
        <f t="shared" si="9"/>
        <v>250</v>
      </c>
      <c r="I112" s="87"/>
      <c r="J112" s="88"/>
      <c r="K112" s="220"/>
    </row>
    <row r="113" spans="1:11" s="17" customFormat="1" ht="12.75">
      <c r="A113" s="112"/>
      <c r="B113" s="83"/>
      <c r="C113" s="84" t="s">
        <v>465</v>
      </c>
      <c r="D113" s="85"/>
      <c r="E113" s="50" t="s">
        <v>227</v>
      </c>
      <c r="F113" s="75">
        <v>1</v>
      </c>
      <c r="G113" s="52">
        <v>3000</v>
      </c>
      <c r="H113" s="86">
        <f t="shared" si="9"/>
        <v>3000</v>
      </c>
      <c r="I113" s="87"/>
      <c r="J113" s="88"/>
      <c r="K113" s="220"/>
    </row>
    <row r="114" spans="1:11" s="17" customFormat="1" ht="12.75">
      <c r="A114" s="112" t="s">
        <v>436</v>
      </c>
      <c r="B114" s="83"/>
      <c r="C114" s="84" t="s">
        <v>443</v>
      </c>
      <c r="D114" s="85"/>
      <c r="E114" s="50" t="s">
        <v>7</v>
      </c>
      <c r="F114" s="75">
        <v>211</v>
      </c>
      <c r="G114" s="52">
        <v>55</v>
      </c>
      <c r="H114" s="86">
        <f t="shared" si="9"/>
        <v>11605</v>
      </c>
      <c r="I114" s="87"/>
      <c r="J114" s="88"/>
      <c r="K114" s="220"/>
    </row>
    <row r="115" spans="1:11" ht="12.75">
      <c r="A115" s="112" t="s">
        <v>437</v>
      </c>
      <c r="B115" s="83"/>
      <c r="C115" s="84" t="s">
        <v>332</v>
      </c>
      <c r="D115" s="85"/>
      <c r="E115" s="50" t="s">
        <v>7</v>
      </c>
      <c r="F115" s="75">
        <f>1085.88-F114</f>
        <v>874.8800000000001</v>
      </c>
      <c r="G115" s="52">
        <v>30</v>
      </c>
      <c r="H115" s="86">
        <f t="shared" si="9"/>
        <v>26246.4</v>
      </c>
      <c r="I115" s="87"/>
      <c r="J115" s="88">
        <v>22</v>
      </c>
      <c r="K115" s="220"/>
    </row>
    <row r="116" spans="1:11" ht="12.75">
      <c r="A116" s="112" t="s">
        <v>438</v>
      </c>
      <c r="B116" s="83"/>
      <c r="C116" s="84" t="s">
        <v>230</v>
      </c>
      <c r="D116" s="85"/>
      <c r="E116" s="50" t="s">
        <v>231</v>
      </c>
      <c r="F116" s="75">
        <v>1</v>
      </c>
      <c r="G116" s="52">
        <v>7000</v>
      </c>
      <c r="H116" s="86">
        <f t="shared" si="9"/>
        <v>7000</v>
      </c>
      <c r="I116" s="87"/>
      <c r="J116" s="88"/>
      <c r="K116" s="220"/>
    </row>
    <row r="117" spans="1:11" ht="12.75">
      <c r="A117" s="112" t="s">
        <v>439</v>
      </c>
      <c r="B117" s="83"/>
      <c r="C117" s="84" t="s">
        <v>329</v>
      </c>
      <c r="D117" s="85"/>
      <c r="E117" s="50" t="s">
        <v>231</v>
      </c>
      <c r="F117" s="75">
        <v>1</v>
      </c>
      <c r="G117" s="52">
        <v>32000</v>
      </c>
      <c r="H117" s="86">
        <f t="shared" si="9"/>
        <v>32000</v>
      </c>
      <c r="I117" s="87"/>
      <c r="J117" s="88"/>
      <c r="K117" s="220"/>
    </row>
    <row r="118" spans="1:11" ht="12.75">
      <c r="A118" s="112" t="s">
        <v>440</v>
      </c>
      <c r="B118" s="83"/>
      <c r="C118" s="84" t="s">
        <v>330</v>
      </c>
      <c r="D118" s="85"/>
      <c r="E118" s="50" t="s">
        <v>227</v>
      </c>
      <c r="F118" s="75">
        <v>15</v>
      </c>
      <c r="G118" s="52">
        <v>200</v>
      </c>
      <c r="H118" s="86">
        <f t="shared" si="9"/>
        <v>3000</v>
      </c>
      <c r="I118" s="87"/>
      <c r="J118" s="88"/>
      <c r="K118" s="220"/>
    </row>
    <row r="119" spans="1:11" ht="12.75">
      <c r="A119" s="112" t="s">
        <v>463</v>
      </c>
      <c r="B119" s="83"/>
      <c r="C119" s="84" t="s">
        <v>327</v>
      </c>
      <c r="D119" s="85"/>
      <c r="E119" s="50" t="s">
        <v>227</v>
      </c>
      <c r="F119" s="75">
        <v>5</v>
      </c>
      <c r="G119" s="52">
        <v>920</v>
      </c>
      <c r="H119" s="86">
        <f t="shared" si="9"/>
        <v>4600</v>
      </c>
      <c r="I119" s="87"/>
      <c r="J119" s="88"/>
      <c r="K119" s="220"/>
    </row>
    <row r="120" spans="1:11" ht="13.5" thickBot="1">
      <c r="A120" s="166" t="s">
        <v>464</v>
      </c>
      <c r="B120" s="167"/>
      <c r="C120" s="168" t="s">
        <v>331</v>
      </c>
      <c r="D120" s="169"/>
      <c r="E120" s="152" t="s">
        <v>231</v>
      </c>
      <c r="F120" s="153">
        <v>1</v>
      </c>
      <c r="G120" s="154">
        <v>10000</v>
      </c>
      <c r="H120" s="170">
        <f t="shared" si="9"/>
        <v>10000</v>
      </c>
      <c r="I120" s="171"/>
      <c r="J120" s="172"/>
      <c r="K120" s="221"/>
    </row>
    <row r="121" spans="1:11" ht="12.75">
      <c r="A121" s="195" t="s">
        <v>256</v>
      </c>
      <c r="B121" s="196"/>
      <c r="C121" s="196"/>
      <c r="D121" s="196"/>
      <c r="E121" s="196"/>
      <c r="F121" s="196"/>
      <c r="G121" s="196"/>
      <c r="H121" s="196"/>
      <c r="I121" s="114"/>
      <c r="J121" s="115"/>
      <c r="K121" s="222">
        <f>K10</f>
        <v>298675.23</v>
      </c>
    </row>
    <row r="122" spans="1:11" ht="12.75">
      <c r="A122" s="197" t="s">
        <v>255</v>
      </c>
      <c r="B122" s="198"/>
      <c r="C122" s="198"/>
      <c r="D122" s="198"/>
      <c r="E122" s="198"/>
      <c r="F122" s="198"/>
      <c r="G122" s="198"/>
      <c r="H122" s="198"/>
      <c r="I122" s="114"/>
      <c r="J122" s="115"/>
      <c r="K122" s="223">
        <f>K92</f>
        <v>120022.12</v>
      </c>
    </row>
    <row r="123" spans="1:11" ht="12.75">
      <c r="A123" s="197" t="s">
        <v>253</v>
      </c>
      <c r="B123" s="198"/>
      <c r="C123" s="198"/>
      <c r="D123" s="198"/>
      <c r="E123" s="198"/>
      <c r="F123" s="198"/>
      <c r="G123" s="198"/>
      <c r="H123" s="198"/>
      <c r="I123" s="114"/>
      <c r="J123" s="115"/>
      <c r="K123" s="223">
        <f>K121+K122</f>
        <v>418697.35</v>
      </c>
    </row>
    <row r="124" spans="1:11" ht="12.75">
      <c r="A124" s="197" t="s">
        <v>254</v>
      </c>
      <c r="B124" s="198"/>
      <c r="C124" s="198"/>
      <c r="D124" s="198"/>
      <c r="E124" s="198"/>
      <c r="F124" s="198"/>
      <c r="G124" s="198"/>
      <c r="H124" s="198"/>
      <c r="I124" s="114"/>
      <c r="J124" s="115"/>
      <c r="K124" s="223">
        <f>ROUND(K123*0.24,2)</f>
        <v>100487.36</v>
      </c>
    </row>
    <row r="125" spans="1:12" ht="24.75" customHeight="1" thickBot="1">
      <c r="A125" s="208" t="s">
        <v>257</v>
      </c>
      <c r="B125" s="209"/>
      <c r="C125" s="209"/>
      <c r="D125" s="209"/>
      <c r="E125" s="209"/>
      <c r="F125" s="209"/>
      <c r="G125" s="209"/>
      <c r="H125" s="209"/>
      <c r="I125" s="206"/>
      <c r="J125" s="207"/>
      <c r="K125" s="224">
        <f>K123+K124</f>
        <v>519184.70999999996</v>
      </c>
      <c r="L125" s="89"/>
    </row>
    <row r="127" spans="1:12" s="95" customFormat="1" ht="19.5" customHeight="1">
      <c r="A127" s="90"/>
      <c r="B127" s="91" t="s">
        <v>466</v>
      </c>
      <c r="C127" s="92"/>
      <c r="D127" s="91"/>
      <c r="E127" s="91"/>
      <c r="F127" s="91" t="s">
        <v>444</v>
      </c>
      <c r="G127" s="91"/>
      <c r="H127" s="91"/>
      <c r="I127" s="93"/>
      <c r="K127" s="225"/>
      <c r="L127" s="94"/>
    </row>
    <row r="128" spans="1:12" s="95" customFormat="1" ht="19.5" customHeight="1">
      <c r="A128" s="90"/>
      <c r="B128" s="91" t="s">
        <v>445</v>
      </c>
      <c r="C128" s="96"/>
      <c r="D128" s="91"/>
      <c r="E128" s="91"/>
      <c r="F128" s="91" t="s">
        <v>446</v>
      </c>
      <c r="G128" s="91"/>
      <c r="H128" s="91"/>
      <c r="I128" s="93"/>
      <c r="K128" s="225"/>
      <c r="L128" s="94"/>
    </row>
    <row r="129" spans="1:12" s="95" customFormat="1" ht="15" customHeight="1">
      <c r="A129" s="90"/>
      <c r="B129" s="97" t="s">
        <v>447</v>
      </c>
      <c r="C129" s="96"/>
      <c r="D129" s="91"/>
      <c r="E129" s="91"/>
      <c r="F129" s="91" t="s">
        <v>448</v>
      </c>
      <c r="G129" s="91"/>
      <c r="H129" s="91"/>
      <c r="I129" s="90"/>
      <c r="K129" s="225"/>
      <c r="L129" s="94"/>
    </row>
    <row r="130" spans="1:12" s="95" customFormat="1" ht="15" customHeight="1">
      <c r="A130" s="90"/>
      <c r="B130" s="98"/>
      <c r="C130" s="99"/>
      <c r="D130" s="91"/>
      <c r="E130" s="91"/>
      <c r="F130" s="100" t="s">
        <v>449</v>
      </c>
      <c r="G130" s="91"/>
      <c r="H130" s="91"/>
      <c r="I130" s="90"/>
      <c r="K130" s="225"/>
      <c r="L130" s="94"/>
    </row>
    <row r="131" spans="1:12" s="95" customFormat="1" ht="19.5" customHeight="1">
      <c r="A131" s="90"/>
      <c r="C131" s="101"/>
      <c r="D131" s="101"/>
      <c r="E131" s="101"/>
      <c r="F131" s="102"/>
      <c r="G131" s="103"/>
      <c r="H131" s="102"/>
      <c r="I131" s="104"/>
      <c r="J131" s="103"/>
      <c r="K131" s="226"/>
      <c r="L131" s="94"/>
    </row>
    <row r="132" spans="1:12" s="109" customFormat="1" ht="15">
      <c r="A132" s="105"/>
      <c r="B132" s="91" t="s">
        <v>450</v>
      </c>
      <c r="C132" s="106"/>
      <c r="D132" s="107"/>
      <c r="E132" s="105"/>
      <c r="F132" s="91" t="s">
        <v>451</v>
      </c>
      <c r="G132" s="91"/>
      <c r="I132" s="91"/>
      <c r="J132" s="91"/>
      <c r="K132" s="227"/>
      <c r="L132" s="108"/>
    </row>
    <row r="133" spans="1:12" s="109" customFormat="1" ht="15">
      <c r="A133" s="105"/>
      <c r="B133" s="91" t="s">
        <v>452</v>
      </c>
      <c r="C133" s="106"/>
      <c r="D133" s="107"/>
      <c r="E133" s="105"/>
      <c r="F133" s="91" t="s">
        <v>453</v>
      </c>
      <c r="G133" s="91"/>
      <c r="I133" s="91"/>
      <c r="J133" s="91"/>
      <c r="K133" s="227"/>
      <c r="L133" s="108"/>
    </row>
  </sheetData>
  <sheetProtection/>
  <mergeCells count="14">
    <mergeCell ref="A125:H125"/>
    <mergeCell ref="K92:K120"/>
    <mergeCell ref="K10:K90"/>
    <mergeCell ref="A121:H121"/>
    <mergeCell ref="A122:H122"/>
    <mergeCell ref="A123:H123"/>
    <mergeCell ref="A124:H124"/>
    <mergeCell ref="B4:C4"/>
    <mergeCell ref="B5:C5"/>
    <mergeCell ref="D1:K2"/>
    <mergeCell ref="B1:C1"/>
    <mergeCell ref="B2:C2"/>
    <mergeCell ref="B3:C3"/>
    <mergeCell ref="D4:K4"/>
  </mergeCells>
  <printOptions/>
  <pageMargins left="0.5118110236220472" right="0.11811023622047245" top="0.5905511811023623" bottom="0.5905511811023623" header="0.31496062992125984" footer="0.31496062992125984"/>
  <pageSetup horizontalDpi="300" verticalDpi="300" orientation="landscape" paperSize="9" scale="80" r:id="rId1"/>
  <headerFooter alignWithMargins="0">
    <oddFooter>&amp;CΣελίδα &amp;P</oddFooter>
  </headerFooter>
  <rowBreaks count="3" manualBreakCount="3">
    <brk id="34" max="10" man="1"/>
    <brk id="65" max="10" man="1"/>
    <brk id="9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 OIK V 3.0</dc:title>
  <dc:subject/>
  <dc:creator>user</dc:creator>
  <cp:keywords/>
  <dc:description/>
  <cp:lastModifiedBy>.</cp:lastModifiedBy>
  <cp:lastPrinted>2017-04-13T07:46:55Z</cp:lastPrinted>
  <dcterms:created xsi:type="dcterms:W3CDTF">2004-12-22T03:03:47Z</dcterms:created>
  <dcterms:modified xsi:type="dcterms:W3CDTF">2017-05-17T07:09:54Z</dcterms:modified>
  <cp:category/>
  <cp:version/>
  <cp:contentType/>
  <cp:contentStatus/>
</cp:coreProperties>
</file>